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0245" yWindow="65521" windowWidth="10230" windowHeight="8310" activeTab="0"/>
  </bookViews>
  <sheets>
    <sheet name="Reg Form" sheetId="1" r:id="rId1"/>
  </sheets>
  <externalReferences>
    <externalReference r:id="rId4"/>
  </externalReferences>
  <definedNames>
    <definedName name="ForExport">'Reg Form'!$B$1:$IV$2</definedName>
    <definedName name="Pl3MV">'Reg Form'!$D$71</definedName>
    <definedName name="PladdressRegion">'Reg Form'!$D$14</definedName>
    <definedName name="PladdressStret">'Reg Form'!$D$16</definedName>
    <definedName name="PladdressTown">'Reg Form'!$D$15</definedName>
    <definedName name="PlCertOfCompAt">'Reg Form'!$L$46</definedName>
    <definedName name="PlCertOfCompIsuedDate">'Reg Form'!$J$46</definedName>
    <definedName name="PlCertOfCompNum">'Reg Form'!$I$46</definedName>
    <definedName name="PlChemTankAdvancedAt">'Reg Form'!#REF!</definedName>
    <definedName name="PlChemTankAdvancedDateIssued">'Reg Form'!#REF!</definedName>
    <definedName name="PlChemTankAdvancedNum">'Reg Form'!#REF!</definedName>
    <definedName name="PlCholeraAt">'Reg Form'!#REF!</definedName>
    <definedName name="PlCholeraNum">'Reg Form'!#REF!</definedName>
    <definedName name="PlCholeraVaccinationDateIssued">'Reg Form'!#REF!</definedName>
    <definedName name="PlCitizenship">'Reg Form'!$H$21</definedName>
    <definedName name="PlCitizenship_2">'Reg Form'!$H$22</definedName>
    <definedName name="PlClothes_Size">'Reg Form'!$E$28</definedName>
    <definedName name="PlContries">'Reg Form'!$W$6:$W$98</definedName>
    <definedName name="PlContriesID">'Reg Form'!$X$6:$X$98</definedName>
    <definedName name="PlCOWInertGasAt">'Reg Form'!#REF!</definedName>
    <definedName name="PlCOWInertGasDateIssued">'Reg Form'!#REF!</definedName>
    <definedName name="PlCOWInertGasNum">'Reg Form'!#REF!</definedName>
    <definedName name="PlCrisisMngmntAt">'Reg Form'!#REF!</definedName>
    <definedName name="PlCrisisMngmntDateIssued">'Reg Form'!#REF!</definedName>
    <definedName name="PlCrisisMngmntNum">'Reg Form'!#REF!</definedName>
    <definedName name="PlCrowdMangmntAt">'Reg Form'!#REF!</definedName>
    <definedName name="PlCrowdMangmntDateIssued">'Reg Form'!#REF!</definedName>
    <definedName name="PlCrowdMangmntNum">'Reg Form'!#REF!</definedName>
    <definedName name="PlDesaredWages">'Reg Form'!$K$15</definedName>
    <definedName name="PlDifhteriaVaccinationDateIssued">'Reg Form'!#REF!</definedName>
    <definedName name="PlDiplom2At">'Reg Form'!#REF!</definedName>
    <definedName name="PlDiplom2Num">'Reg Form'!#REF!</definedName>
    <definedName name="PlDiplom2Type">'Reg Form'!#REF!</definedName>
    <definedName name="PlDiplomEcvivalent">'Reg Form'!$Y$6:$Y$33</definedName>
    <definedName name="PlDiplomIssuedBy">'Reg Form'!$K$46</definedName>
    <definedName name="PlDiplomRus">'Reg Form'!#REF!</definedName>
    <definedName name="PlDiplomType">'Reg Form'!$D$46</definedName>
    <definedName name="Pldob">'Reg Form'!$D$11</definedName>
    <definedName name="PlDrugAlcoholTestAt">'Reg Form'!#REF!</definedName>
    <definedName name="PlDrugAlcoholTestDateIssued">'Reg Form'!#REF!</definedName>
    <definedName name="PlDrugAlcoholTestNum">'Reg Form'!#REF!</definedName>
    <definedName name="PlEducation">'Reg Form'!$D$23</definedName>
    <definedName name="PlEducation_2">'Reg Form'!#REF!</definedName>
    <definedName name="PlEducRus">'Reg Form'!#REF!</definedName>
    <definedName name="PlEmail">'Reg Form'!$L$18</definedName>
    <definedName name="PlEndCyprusDateIssued">'Reg Form'!#REF!</definedName>
    <definedName name="PlEndCyprusNumber">'Reg Form'!#REF!</definedName>
    <definedName name="PlEndLiberiaDateIssued">'Reg Form'!#REF!</definedName>
    <definedName name="PlEndLiberiaNumber">'Reg Form'!#REF!</definedName>
    <definedName name="PlEndorsmentAt">'Reg Form'!$L$47</definedName>
    <definedName name="PlEndorsmentNum">'Reg Form'!$I$47</definedName>
    <definedName name="PlEndStVinsentDateIssued">'Reg Form'!#REF!</definedName>
    <definedName name="PlEndStVinsentNumber">'Reg Form'!#REF!</definedName>
    <definedName name="PlEnglTestPst">'Reg Form'!$E$32</definedName>
    <definedName name="PlEyes_color">'Reg Form'!$I$27</definedName>
    <definedName name="PlFamelEngl">'Reg Form'!$D$8</definedName>
    <definedName name="PlFastRBoatsData">'Reg Form'!#REF!</definedName>
    <definedName name="PlFastRBoatsDateIssued">'Reg Form'!#REF!</definedName>
    <definedName name="PlFastRBoatsNum">'Reg Form'!#REF!</definedName>
    <definedName name="PlFatherFirstName">'Reg Form'!#REF!</definedName>
    <definedName name="PlFatherSurname">'Reg Form'!#REF!</definedName>
    <definedName name="PlFemelRus">'Reg Form'!#REF!</definedName>
    <definedName name="PlFireFightLifesaivRescueAt">'Reg Form'!$J$49</definedName>
    <definedName name="PlFireFightLifesaivRescueDateIssued">'Reg Form'!$G$49</definedName>
    <definedName name="PlFireFightLifesaivRescueNum">'Reg Form'!$F$49</definedName>
    <definedName name="PlFlagRegistrSeamBook">'Reg Form'!$K$37</definedName>
    <definedName name="PlFoto">'Reg Form'!$N$24:$O$33</definedName>
    <definedName name="PlGasTankAdvancedAt">'Reg Form'!#REF!</definedName>
    <definedName name="PlGasTankAdvancedDateIssued">'Reg Form'!#REF!</definedName>
    <definedName name="PlGasTankAdvancedNum">'Reg Form'!#REF!</definedName>
    <definedName name="PlGenTank101DateIssued">'Reg Form'!#REF!</definedName>
    <definedName name="PlGenTankSafetAt101">'Reg Form'!#REF!</definedName>
    <definedName name="PlGenTankSafetNum101">'Reg Form'!#REF!</definedName>
    <definedName name="PlGrPasDate">'Reg Form'!$G$38</definedName>
    <definedName name="PlGrPasExpiryDate">'Reg Form'!$J$38</definedName>
    <definedName name="PlGrPasNum">'Reg Form'!$F$38</definedName>
    <definedName name="PlGrPasPlaceIisue">'Reg Form'!$H$38</definedName>
    <definedName name="PlGrPasSeria">'Reg Form'!$E$38</definedName>
    <definedName name="PlHairs_color">'Reg Form'!$I$26</definedName>
    <definedName name="PlHalthCertIsuedAt">'Reg Form'!$J$56</definedName>
    <definedName name="PlHalthCertIsuedNum">'Reg Form'!$F$56</definedName>
    <definedName name="PlHAZMATData">'Reg Form'!$J$53</definedName>
    <definedName name="PlHAZMATDataIssued">'Reg Form'!$G$53</definedName>
    <definedName name="PlHAZMATNumber">'Reg Form'!$F$53</definedName>
    <definedName name="PlHazmatUSA1DateIssued">'Reg Form'!$G$54</definedName>
    <definedName name="PlHazmatUSA1Number">'Reg Form'!$F$54</definedName>
    <definedName name="PlHazmatUSA2DateIssued">'Reg Form'!#REF!</definedName>
    <definedName name="PlHazmatUSA2Number">'Reg Form'!#REF!</definedName>
    <definedName name="PlHead_Size">'Reg Form'!$E$30</definedName>
    <definedName name="PlHeight">'Reg Form'!$E$27</definedName>
    <definedName name="PlIntPasDate">'Reg Form'!$G$39</definedName>
    <definedName name="PlIntPasExpiryDate">'Reg Form'!$J$39</definedName>
    <definedName name="PlIntPasNum">'Reg Form'!$F$39</definedName>
    <definedName name="PlIntPasPlaceIisue">'Reg Form'!$H$39</definedName>
    <definedName name="PlIntPasSeria">'Reg Form'!$E$39</definedName>
    <definedName name="PlLang2">'Reg Form'!#REF!</definedName>
    <definedName name="PlLang22">'Reg Form'!#REF!</definedName>
    <definedName name="PlLang2DateIssued">'Reg Form'!#REF!</definedName>
    <definedName name="PlLicCodes">'Reg Form'!$AA$6:$AA$33</definedName>
    <definedName name="PLLicences">'Reg Form'!$Z$6:$Z$33</definedName>
    <definedName name="PlMaritalStat">'Reg Form'!$D$22</definedName>
    <definedName name="PlMedSertDateIssued">'Reg Form'!$G$56</definedName>
    <definedName name="PlMinWages">'Reg Form'!$K$14</definedName>
    <definedName name="PlMobil_Tlf">'Reg Form'!$H$18</definedName>
    <definedName name="PlMotherFirstName">'Reg Form'!#REF!</definedName>
    <definedName name="PlMotherMaidenName">'Reg Form'!#REF!</definedName>
    <definedName name="PlMotherSurname">'Reg Form'!#REF!</definedName>
    <definedName name="PlNameEngl">'Reg Form'!$D$9</definedName>
    <definedName name="PlNameRus">'Reg Form'!#REF!</definedName>
    <definedName name="PlNationality">'Reg Form'!$D$21</definedName>
    <definedName name="PlNotes1">'Reg Form'!#REF!</definedName>
    <definedName name="PlNotes2">'Reg Form'!#REF!</definedName>
    <definedName name="PlOtchestvoEngl">'Reg Form'!$D$10</definedName>
    <definedName name="PlOtchestvoRus">'Reg Form'!#REF!</definedName>
    <definedName name="PlPasCargoHulDateIssued">'Reg Form'!#REF!</definedName>
    <definedName name="PlPasCargoHullAt">'Reg Form'!#REF!</definedName>
    <definedName name="PlPasCargoHullNum">'Reg Form'!#REF!</definedName>
    <definedName name="PlPaspNum">'Reg Form'!$F$36</definedName>
    <definedName name="PlPaspSeria">'Reg Form'!$E$36</definedName>
    <definedName name="PlPassengerSafetyAt">'Reg Form'!#REF!</definedName>
    <definedName name="PlPassengerSafetyDateIssued">'Reg Form'!#REF!</definedName>
    <definedName name="PlPassengerSafetyNum">'Reg Form'!#REF!</definedName>
    <definedName name="PlpobEngl">'Reg Form'!$D$12</definedName>
    <definedName name="PlpobRus">'Reg Form'!#REF!</definedName>
    <definedName name="PlPostal_Code">'Reg Form'!$D$17</definedName>
    <definedName name="PlPresentJobCoAndRankRus">'Reg Form'!#REF!</definedName>
    <definedName name="PlPropiskaSity">'Reg Form'!#REF!</definedName>
    <definedName name="PlPropiskaSteet">'Reg Form'!#REF!</definedName>
    <definedName name="PlRadarAt">'Reg Form'!#REF!</definedName>
    <definedName name="PlRadarDateIssued">'Reg Form'!#REF!</definedName>
    <definedName name="PlRadarNum">'Reg Form'!#REF!</definedName>
    <definedName name="PlRank1">'Reg Form'!$D$7</definedName>
    <definedName name="PlRecomendCoAndAddrRus">'Reg Form'!#REF!</definedName>
    <definedName name="PlRecomendCoEMaile">'Reg Form'!#REF!</definedName>
    <definedName name="PlRecomendCoTelFax">'Reg Form'!#REF!</definedName>
    <definedName name="PlRecomendCoTelMobil">'Reg Form'!#REF!</definedName>
    <definedName name="PlRecomendPersonNameRus">'Reg Form'!#REF!</definedName>
    <definedName name="PlRecomendPersonRankRus">'Reg Form'!#REF!</definedName>
    <definedName name="PlReligion">'Reg Form'!#REF!</definedName>
    <definedName name="PlSarpAt">'Reg Form'!#REF!</definedName>
    <definedName name="PlSarpDateIssued">'Reg Form'!#REF!</definedName>
    <definedName name="PlSarpNum">'Reg Form'!#REF!</definedName>
    <definedName name="PlSchengenVisaDateValid">'Reg Form'!#REF!</definedName>
    <definedName name="PlSchengenVisaNumber">'Reg Form'!#REF!</definedName>
    <definedName name="PlSeamansBookNumber">'Reg Form'!$F$37</definedName>
    <definedName name="PlSeamansBookSeria">'Reg Form'!$E$37</definedName>
    <definedName name="PlSeamBookDate">'Reg Form'!$G$37</definedName>
    <definedName name="PlSeamBookDateEXPARY">'Reg Form'!$J$37</definedName>
    <definedName name="PlSeamPaspDate">'Reg Form'!$G$36</definedName>
    <definedName name="PlSeamPaspExparyDate">'Reg Form'!$J$36</definedName>
    <definedName name="PlSert114DateIssued">'Reg Form'!$G$52</definedName>
    <definedName name="PlSert114Number">'Reg Form'!$F$52</definedName>
    <definedName name="PlSert115Data">'Reg Form'!#REF!</definedName>
    <definedName name="PlSert115DateIssued">'Reg Form'!#REF!</definedName>
    <definedName name="PlSert115Number">'Reg Form'!#REF!</definedName>
    <definedName name="PlSert123Data">'Reg Form'!$J$50</definedName>
    <definedName name="PlSert123DateIssued">'Reg Form'!$G$50</definedName>
    <definedName name="PlSert123Number">'Reg Form'!$F$50</definedName>
    <definedName name="PlSert203data">'Reg Form'!$J$51</definedName>
    <definedName name="PlSert203DateIssued">'Reg Form'!$G$51</definedName>
    <definedName name="PlSert203Number">'Reg Form'!$F$51</definedName>
    <definedName name="PlSex">'Reg Form'!$D$20</definedName>
    <definedName name="PlShoes_Size">'Reg Form'!#REF!</definedName>
    <definedName name="PlSkins_Color">'Reg Form'!$I$28</definedName>
    <definedName name="PlTank102DateIssued">'Reg Form'!#REF!</definedName>
    <definedName name="PlTankAt102">'Reg Form'!#REF!</definedName>
    <definedName name="PlTankNum102">'Reg Form'!#REF!</definedName>
    <definedName name="Pltel2">'Reg Form'!$D$18</definedName>
    <definedName name="PlTheirsNumber">'Reg Form'!#REF!</definedName>
    <definedName name="Plthers">'Reg Form'!#REF!</definedName>
    <definedName name="PlUSAVisaDateValid">'Reg Form'!#REF!</definedName>
    <definedName name="PlUSAVisaNumber">'Reg Form'!#REF!</definedName>
    <definedName name="PlVaccinationBookDateIssued">'Reg Form'!#REF!</definedName>
    <definedName name="PlVaccinationBookNumber">'Reg Form'!#REF!</definedName>
    <definedName name="PlVichDateIssued">'Reg Form'!#REF!</definedName>
    <definedName name="PlVichTestNumber">'Reg Form'!#REF!</definedName>
    <definedName name="PlWeight">'Reg Form'!$E$26</definedName>
    <definedName name="PlWifeFirstName">'Reg Form'!#REF!</definedName>
    <definedName name="PlWifeSurname">'Reg Form'!#REF!</definedName>
    <definedName name="PlYellowFeverVaccinationDateIssued">'Reg Form'!$G$55</definedName>
    <definedName name="PlYellowFwrAt">'Reg Form'!$J$55</definedName>
    <definedName name="PlYellowFwrNum">'Reg Form'!$F$55</definedName>
    <definedName name="pTaganrog_Harbour_Master">'Reg Form'!$K$46</definedName>
    <definedName name="RankCode">'Reg Form'!$AB$6:$AB$33</definedName>
    <definedName name="RankCosdeID">'Reg Form'!$T$6:$T$55</definedName>
    <definedName name="RankTable">'Reg Form'!$R$6:$R$55</definedName>
    <definedName name="snEndDate">'[1]Documents'!$AR$48</definedName>
    <definedName name="snLicence1">'Reg Form'!$D$45</definedName>
    <definedName name="snLicence2">'Reg Form'!$D$47</definedName>
    <definedName name="snLicence3">'Reg Form'!#REF!</definedName>
    <definedName name="snStartDate">'[1]Documents'!$AR$47</definedName>
    <definedName name="tblLicences">'[1]Documents'!$AR$50:$AR$75</definedName>
    <definedName name="Valid_Untill">'Reg Form'!#REF!</definedName>
    <definedName name="_xlnm.Print_Area" localSheetId="0">'Reg Form'!$B$3:$Q$71</definedName>
  </definedNames>
  <calcPr fullCalcOnLoad="1"/>
</workbook>
</file>

<file path=xl/sharedStrings.xml><?xml version="1.0" encoding="utf-8"?>
<sst xmlns="http://schemas.openxmlformats.org/spreadsheetml/2006/main" count="811" uniqueCount="667">
  <si>
    <t>Licence to applied rank:</t>
  </si>
  <si>
    <t>Number</t>
  </si>
  <si>
    <t>Issue Date</t>
  </si>
  <si>
    <t>Issue Place</t>
  </si>
  <si>
    <t>Valid Untill</t>
  </si>
  <si>
    <t>Issue Flag</t>
  </si>
  <si>
    <t>Name of Vessel</t>
  </si>
  <si>
    <t>Vessel Type</t>
  </si>
  <si>
    <t>Flag</t>
  </si>
  <si>
    <t>DWT</t>
  </si>
  <si>
    <t>Engine Type</t>
  </si>
  <si>
    <t>HP</t>
  </si>
  <si>
    <t>Position/Rank</t>
  </si>
  <si>
    <t>Ship Owner/Manager</t>
  </si>
  <si>
    <t>Russia</t>
  </si>
  <si>
    <t>Male</t>
  </si>
  <si>
    <t>kg</t>
  </si>
  <si>
    <t>m</t>
  </si>
  <si>
    <t>Dark</t>
  </si>
  <si>
    <t>White</t>
  </si>
  <si>
    <t>Series</t>
  </si>
  <si>
    <t>Nationality</t>
  </si>
  <si>
    <t>Кем Выдан</t>
  </si>
  <si>
    <t>Yellow Fever Vaccination</t>
  </si>
  <si>
    <t>Medical Certificate</t>
  </si>
  <si>
    <t>National Endorsement:</t>
  </si>
  <si>
    <t>Married</t>
  </si>
  <si>
    <t>Лицо Вас рекомендующее</t>
  </si>
  <si>
    <t>Цвет кожи</t>
  </si>
  <si>
    <t>Цвет волос</t>
  </si>
  <si>
    <t>Цвет глаз</t>
  </si>
  <si>
    <t>Пол</t>
  </si>
  <si>
    <t>Семейное положение</t>
  </si>
  <si>
    <t>Религия</t>
  </si>
  <si>
    <t>Страна</t>
  </si>
  <si>
    <t>Должность</t>
  </si>
  <si>
    <t>Наследник</t>
  </si>
  <si>
    <t>Диплом</t>
  </si>
  <si>
    <t>Mobil Tlf :</t>
  </si>
  <si>
    <t>Citizenship:</t>
  </si>
  <si>
    <t>Foto:</t>
  </si>
  <si>
    <t xml:space="preserve"> USD</t>
  </si>
  <si>
    <t>From dd.mm.yyyy</t>
  </si>
  <si>
    <t>To dd.mm.yyyy</t>
  </si>
  <si>
    <t xml:space="preserve">  (Boiler Suite)</t>
  </si>
  <si>
    <t>Kaliningrad, "UTS-3 Zapryba"</t>
  </si>
  <si>
    <t>UTS Center</t>
  </si>
  <si>
    <t>Visa Type</t>
  </si>
  <si>
    <t>Harbour Master</t>
  </si>
  <si>
    <t>Valid Until</t>
  </si>
  <si>
    <t>Two-day hazardous materials training program including training and testing in general awareness/familiarization with the reguirements of subcharter "C", Title49, Code of Federal Regulations (USA)</t>
  </si>
  <si>
    <t>ME Type</t>
  </si>
  <si>
    <t>Vesel Flag</t>
  </si>
  <si>
    <t>B&amp;W</t>
  </si>
  <si>
    <t>Cegielski</t>
  </si>
  <si>
    <t>Crepelle</t>
  </si>
  <si>
    <t>Cummins</t>
  </si>
  <si>
    <t>Daihatsu</t>
  </si>
  <si>
    <t>De Industrie</t>
  </si>
  <si>
    <t>Deutz (incl MWM)</t>
  </si>
  <si>
    <t>Diesel</t>
  </si>
  <si>
    <t>Fiat (GMT)</t>
  </si>
  <si>
    <t>Fuji</t>
  </si>
  <si>
    <t>General Motors</t>
  </si>
  <si>
    <t>Hanshin</t>
  </si>
  <si>
    <t>Kawasaki M.A.N.</t>
  </si>
  <si>
    <t>Liebknecht</t>
  </si>
  <si>
    <t>Mak (Caterpillar)</t>
  </si>
  <si>
    <t>Makita</t>
  </si>
  <si>
    <t>Man</t>
  </si>
  <si>
    <t>MAN B&amp;W</t>
  </si>
  <si>
    <t>SKL</t>
  </si>
  <si>
    <t>English Electric</t>
  </si>
  <si>
    <t>St Vincent</t>
  </si>
  <si>
    <t>Netherlands Antilles</t>
  </si>
  <si>
    <t>Isle of Man</t>
  </si>
  <si>
    <t>Bulker/Container Carrier/Timber-Container</t>
  </si>
  <si>
    <t>Bulker/General Cargo</t>
  </si>
  <si>
    <t>Bulker/Timber</t>
  </si>
  <si>
    <t>Cable Ship</t>
  </si>
  <si>
    <t>Chemical/Oil Tanker</t>
  </si>
  <si>
    <t>Container Ship</t>
  </si>
  <si>
    <t>Container/Timber/General Cargo Ship</t>
  </si>
  <si>
    <t>Crude Oil Tanker</t>
  </si>
  <si>
    <t>Parcels Tanker</t>
  </si>
  <si>
    <t>Products Tanker</t>
  </si>
  <si>
    <t>Tanker Crude Oil Tanker</t>
  </si>
  <si>
    <t>Container Ship/Geared</t>
  </si>
  <si>
    <t>ULCC</t>
  </si>
  <si>
    <t>VLCC</t>
  </si>
  <si>
    <t>LPG</t>
  </si>
  <si>
    <t>LPGC</t>
  </si>
  <si>
    <t>LNG</t>
  </si>
  <si>
    <t>r3</t>
  </si>
  <si>
    <t>r1</t>
  </si>
  <si>
    <t>FemelRus</t>
  </si>
  <si>
    <t>NameRus</t>
  </si>
  <si>
    <t>OtchestvoRus</t>
  </si>
  <si>
    <t>FamelEngl</t>
  </si>
  <si>
    <t>NameEngl</t>
  </si>
  <si>
    <t>rankRus</t>
  </si>
  <si>
    <t>rank1</t>
  </si>
  <si>
    <t>PaspSeria</t>
  </si>
  <si>
    <t>PaspNum</t>
  </si>
  <si>
    <t>SeamBook/Date</t>
  </si>
  <si>
    <t>SeamBook/DateEXPARY</t>
  </si>
  <si>
    <t>dob</t>
  </si>
  <si>
    <t>pobEngl</t>
  </si>
  <si>
    <t>r2</t>
  </si>
  <si>
    <t>NumberF8</t>
  </si>
  <si>
    <t>DataF8</t>
  </si>
  <si>
    <t>Судно на котором был с - по.</t>
  </si>
  <si>
    <t>Exp1MVType</t>
  </si>
  <si>
    <t>Exp1MVFlagEngl</t>
  </si>
  <si>
    <t>Exp1Gross</t>
  </si>
  <si>
    <t>Exp1TypeEng</t>
  </si>
  <si>
    <t>Exp1PowerEng</t>
  </si>
  <si>
    <t>Exp1Evaluetion</t>
  </si>
  <si>
    <t>Exp1ShipCo</t>
  </si>
  <si>
    <t>Exp1ShipCoAdres</t>
  </si>
  <si>
    <t>GrPasExpiryDate</t>
  </si>
  <si>
    <t>GrPas/Place iisue</t>
  </si>
  <si>
    <t>IntPasName</t>
  </si>
  <si>
    <t>IntPasFamaly</t>
  </si>
  <si>
    <t>IntPasPOBRus</t>
  </si>
  <si>
    <t>IntPasPOBEngl</t>
  </si>
  <si>
    <t>IntPasSeria</t>
  </si>
  <si>
    <t>IntPasNum</t>
  </si>
  <si>
    <t>IntPas/Date</t>
  </si>
  <si>
    <t>IntPasExpiryDate</t>
  </si>
  <si>
    <t>IntPas/Place Iisue</t>
  </si>
  <si>
    <t>sex</t>
  </si>
  <si>
    <t>thersadress</t>
  </si>
  <si>
    <t>Lang1</t>
  </si>
  <si>
    <t>Lang2</t>
  </si>
  <si>
    <t>Exp2MVType</t>
  </si>
  <si>
    <t>Exp2MVFlagEngl</t>
  </si>
  <si>
    <t>Exp2Gross</t>
  </si>
  <si>
    <t>Exp2TypeEng</t>
  </si>
  <si>
    <t>Exp2PowerEng</t>
  </si>
  <si>
    <t>Exp2Evaluetion</t>
  </si>
  <si>
    <t>Exp2ShipCo</t>
  </si>
  <si>
    <t>PogarnikGAMRP</t>
  </si>
  <si>
    <t>Exp3MVFlagEngl</t>
  </si>
  <si>
    <t>Exp3MVType</t>
  </si>
  <si>
    <t>Exp3Gross</t>
  </si>
  <si>
    <t>Exp3TypeEng</t>
  </si>
  <si>
    <t>Exp3PowerEng</t>
  </si>
  <si>
    <t>Exp3Evaluetion</t>
  </si>
  <si>
    <t>Exp3ShipCo</t>
  </si>
  <si>
    <t>AttestatsiyaGAMRP</t>
  </si>
  <si>
    <t>Exp4Fm</t>
  </si>
  <si>
    <t>Exp4To</t>
  </si>
  <si>
    <t>Exp4MV</t>
  </si>
  <si>
    <t>Exp4MVFlagEngl</t>
  </si>
  <si>
    <t>Exp4MVType</t>
  </si>
  <si>
    <t>Exp4Gross</t>
  </si>
  <si>
    <t>Exp4TypeEng</t>
  </si>
  <si>
    <t>Exp4PowerEng</t>
  </si>
  <si>
    <t>Exp4Rank</t>
  </si>
  <si>
    <t>Exp4Evaluetion</t>
  </si>
  <si>
    <t>Exp4ShipCo</t>
  </si>
  <si>
    <t>Exp5Fm</t>
  </si>
  <si>
    <t>Exp5To</t>
  </si>
  <si>
    <t>Exp5MV</t>
  </si>
  <si>
    <t>Exp5MVFlagEngl</t>
  </si>
  <si>
    <t>Exp5MVType</t>
  </si>
  <si>
    <t>Exp5Gross</t>
  </si>
  <si>
    <t>Exp5TypeEng</t>
  </si>
  <si>
    <t>Exp5PowerEng</t>
  </si>
  <si>
    <t>Exp5Rank</t>
  </si>
  <si>
    <t>Exp5Evaluetion</t>
  </si>
  <si>
    <t>Exp5ShipCo</t>
  </si>
  <si>
    <t>Category</t>
  </si>
  <si>
    <t>Crew Department</t>
  </si>
  <si>
    <t>education</t>
  </si>
  <si>
    <t>DiplomType</t>
  </si>
  <si>
    <t>DiplomTorgov</t>
  </si>
  <si>
    <t>CERT OF COMPET NUM</t>
  </si>
  <si>
    <t>Cert_of_Commpet_Issued_by</t>
  </si>
  <si>
    <t>Cert_of_Commpet_at1</t>
  </si>
  <si>
    <t>CERT OF COMPET AT</t>
  </si>
  <si>
    <t>END_Type</t>
  </si>
  <si>
    <t>ENDORSMENT NUM</t>
  </si>
  <si>
    <t>END_Isued_At</t>
  </si>
  <si>
    <t>END_Isued_by</t>
  </si>
  <si>
    <t>ENDORSMENT AT</t>
  </si>
  <si>
    <t>END_2_Type</t>
  </si>
  <si>
    <t>END_2_ NUM</t>
  </si>
  <si>
    <t>END2_Isued_At</t>
  </si>
  <si>
    <t>END2_Isued_by</t>
  </si>
  <si>
    <t>END_ 2_ AT</t>
  </si>
  <si>
    <t>END_3_Type</t>
  </si>
  <si>
    <t>END_3_ NUM</t>
  </si>
  <si>
    <t>END3_Isued_At</t>
  </si>
  <si>
    <t>END3_Isued_by</t>
  </si>
  <si>
    <t>END_ 3_ AT</t>
  </si>
  <si>
    <t>RADARTorgov</t>
  </si>
  <si>
    <t>RADAR ARPA NUM</t>
  </si>
  <si>
    <t>RADAR ARPA AT</t>
  </si>
  <si>
    <t>RADAR_Issued_By</t>
  </si>
  <si>
    <t>SARPTorgov</t>
  </si>
  <si>
    <t>SARP NUM</t>
  </si>
  <si>
    <t>SARP AT</t>
  </si>
  <si>
    <t>SARP_Issued_By</t>
  </si>
  <si>
    <t>SalaryITF</t>
  </si>
  <si>
    <t>DengCargoNum</t>
  </si>
  <si>
    <t>DengCargoNumAt</t>
  </si>
  <si>
    <t>GMDSSTorgov</t>
  </si>
  <si>
    <t>GMDSS NUM</t>
  </si>
  <si>
    <t>GMDSS_Type</t>
  </si>
  <si>
    <t>GMDSS_Isued_by</t>
  </si>
  <si>
    <t>GMDSS_Date_Isued_at</t>
  </si>
  <si>
    <t>GMDSS AT</t>
  </si>
  <si>
    <t>FIRE FIGHT LIFESAIV RESCUE NUM</t>
  </si>
  <si>
    <t>FIRE FIGHT LIFESAIV RESCUE AT</t>
  </si>
  <si>
    <t>MEDICAL CARE FIRST AIDS NUM</t>
  </si>
  <si>
    <t>MEDICAL CARE FIRST AIDS AT</t>
  </si>
  <si>
    <t>MEDICAL CARE FIRST AIDS_Issued_By</t>
  </si>
  <si>
    <t>UTSenter</t>
  </si>
  <si>
    <t>GEN TANK SAFET NUM 101</t>
  </si>
  <si>
    <t>GEN TANK SAFET AT 101</t>
  </si>
  <si>
    <t>UTSenter_Tanker</t>
  </si>
  <si>
    <t>TANK NUM 102</t>
  </si>
  <si>
    <t>TANK AT 102</t>
  </si>
  <si>
    <t>COW_ Inert_ Gas__Num</t>
  </si>
  <si>
    <t>COW_ Inert_ Gas__At</t>
  </si>
  <si>
    <t>COW_ Inert_ Gas_Issued_By</t>
  </si>
  <si>
    <t>Chem_ Tank_Advanced_Num</t>
  </si>
  <si>
    <t>Chem_ Tank_Advanced_At</t>
  </si>
  <si>
    <t>Chem_ Tank_Advanced_Issued_By</t>
  </si>
  <si>
    <t>Gas_ Tank_Advanced_Num</t>
  </si>
  <si>
    <t>Gas_ Tank_Advanced_At</t>
  </si>
  <si>
    <t>Gas_ Tank_Advanced_Issued_By</t>
  </si>
  <si>
    <t>ABLE SEAMAN NUM</t>
  </si>
  <si>
    <t>ABLE SEAMAN AT</t>
  </si>
  <si>
    <t>AbleSeamanTorgov</t>
  </si>
  <si>
    <t>ENGINE RATINGS NUM</t>
  </si>
  <si>
    <t>ENGINE RATINGS AT</t>
  </si>
  <si>
    <t>EnginRatingTorgov</t>
  </si>
  <si>
    <t>HalthCertIsuedAt</t>
  </si>
  <si>
    <t>DS</t>
  </si>
  <si>
    <t>PersDetailes</t>
  </si>
  <si>
    <t>DateOfFilling</t>
  </si>
  <si>
    <t>Alimenti_Flag</t>
  </si>
  <si>
    <t>Alimenti_Text</t>
  </si>
  <si>
    <t>Insuranse_Flag</t>
  </si>
  <si>
    <t>Street, House - Flat:</t>
  </si>
  <si>
    <t>Insuranse_Text</t>
  </si>
  <si>
    <t>Foto</t>
  </si>
  <si>
    <t>sert123number</t>
  </si>
  <si>
    <t>sert123data</t>
  </si>
  <si>
    <t>sert123IssuedBy</t>
  </si>
  <si>
    <t>sert203number</t>
  </si>
  <si>
    <t>sert203data</t>
  </si>
  <si>
    <t>sert203IssuedBy</t>
  </si>
  <si>
    <t>sert114number</t>
  </si>
  <si>
    <t>sert114data</t>
  </si>
  <si>
    <t>sert114_Issued_By</t>
  </si>
  <si>
    <t>sert115number</t>
  </si>
  <si>
    <t>sert115data</t>
  </si>
  <si>
    <t>SalaryMin</t>
  </si>
  <si>
    <t>SalaryReq</t>
  </si>
  <si>
    <t>maritalstat</t>
  </si>
  <si>
    <t>childnumber</t>
  </si>
  <si>
    <t>sitezenchip</t>
  </si>
  <si>
    <t>addressRegion</t>
  </si>
  <si>
    <t>adressStreet</t>
  </si>
  <si>
    <t>tel2</t>
  </si>
  <si>
    <t>email</t>
  </si>
  <si>
    <t>thers</t>
  </si>
  <si>
    <t>SeamBook/Plasce issue</t>
  </si>
  <si>
    <t>FlagRegistrSeamBook</t>
  </si>
  <si>
    <t>SBookSeria</t>
  </si>
  <si>
    <t>SBookNumber</t>
  </si>
  <si>
    <t>SBookIsued</t>
  </si>
  <si>
    <t>SBookValid</t>
  </si>
  <si>
    <t>SBookFlagIssued</t>
  </si>
  <si>
    <t>GrPasSeria</t>
  </si>
  <si>
    <t>GrPasNum</t>
  </si>
  <si>
    <t>GrPas/Date</t>
  </si>
  <si>
    <t>ColourOfHeir</t>
  </si>
  <si>
    <t>ColourOfEyes</t>
  </si>
  <si>
    <t>Height</t>
  </si>
  <si>
    <t>Weight</t>
  </si>
  <si>
    <t>ShoesSize</t>
  </si>
  <si>
    <t>HatSize</t>
  </si>
  <si>
    <t>SuitSize</t>
  </si>
  <si>
    <t>AmericanVisaType</t>
  </si>
  <si>
    <t>AmericanVisaValidTill</t>
  </si>
  <si>
    <t>SchengenVisaType</t>
  </si>
  <si>
    <t>SchengenVisaValidTill</t>
  </si>
  <si>
    <t>LiberianEndNumber</t>
  </si>
  <si>
    <t>LiberianEndDateIssued</t>
  </si>
  <si>
    <t>LiberianEndDateValid</t>
  </si>
  <si>
    <t>BahamianEndNumber</t>
  </si>
  <si>
    <t>BahamianEndDateIssued</t>
  </si>
  <si>
    <t>BahamianEndDateValid</t>
  </si>
  <si>
    <t>CyprusEndNumber</t>
  </si>
  <si>
    <t>CyprusDateIssued</t>
  </si>
  <si>
    <t>CyprusDateValid</t>
  </si>
  <si>
    <t>PanamianEndNumber</t>
  </si>
  <si>
    <t>PanamianDateIssued</t>
  </si>
  <si>
    <t>PanamianDateValid</t>
  </si>
  <si>
    <t>MarshalEndNumbe</t>
  </si>
  <si>
    <t>MarshalDateIssued</t>
  </si>
  <si>
    <t>MarshalDateValid</t>
  </si>
  <si>
    <t>MaltaEndNumber</t>
  </si>
  <si>
    <t>MaltaDateIssued</t>
  </si>
  <si>
    <t>MaltaDateValid</t>
  </si>
  <si>
    <t>AntiguaEndNumber</t>
  </si>
  <si>
    <t>AntiguaDateIssued</t>
  </si>
  <si>
    <t>AntiguaDateValid</t>
  </si>
  <si>
    <t>GermanyEndNumber</t>
  </si>
  <si>
    <t>GermanyDateIssued</t>
  </si>
  <si>
    <t>GermanyDateValid</t>
  </si>
  <si>
    <t>St VincentEndNumber</t>
  </si>
  <si>
    <t>St VincentDateIssued</t>
  </si>
  <si>
    <t>St VincentDateValid</t>
  </si>
  <si>
    <t>VichDate</t>
  </si>
  <si>
    <t>DiphtheriaDate</t>
  </si>
  <si>
    <t>YellowFeverDate</t>
  </si>
  <si>
    <t>b3</t>
  </si>
  <si>
    <t>DengCargoIssuedBy</t>
  </si>
  <si>
    <t/>
  </si>
  <si>
    <t xml:space="preserve">, </t>
  </si>
  <si>
    <t>Lang 2</t>
  </si>
  <si>
    <t>2nd Class Engineer Category A / 2nd Engineer;</t>
  </si>
  <si>
    <t>Second Engineer;</t>
  </si>
  <si>
    <t>2Class Engineer Category B;</t>
  </si>
  <si>
    <t>2nd Class Engineer Category B / Cheif Engineer;</t>
  </si>
  <si>
    <t>3rd Class Engineer Category B / 2nd Engineer;</t>
  </si>
  <si>
    <t>3rd Class Engineer Category A / OOW Engineering;</t>
  </si>
  <si>
    <t>3Class Engineer Category B;</t>
  </si>
  <si>
    <t>2nd Class Refregerator Engineer;</t>
  </si>
  <si>
    <t>1st Class Electrical Engineer Officer;</t>
  </si>
  <si>
    <t>2nd Class Electrical Engineer Officer;</t>
  </si>
  <si>
    <t>3rd Class Electrical Engineer Officer;</t>
  </si>
  <si>
    <t>1st Class Radio Officer;</t>
  </si>
  <si>
    <t>Radio Officer;</t>
  </si>
  <si>
    <t>2nd Class Radio Officer;</t>
  </si>
  <si>
    <t>2nd Class Radioelectronic;</t>
  </si>
  <si>
    <t>1st Class Radioelectrinic;</t>
  </si>
  <si>
    <t>1 Class Radio Officer;</t>
  </si>
  <si>
    <t>O/S-Buder Operator</t>
  </si>
  <si>
    <t>O/S-Fish Factory Worker</t>
  </si>
  <si>
    <t>R.M.U. Operator</t>
  </si>
  <si>
    <t xml:space="preserve">Lead Fisherman Watch </t>
  </si>
  <si>
    <t xml:space="preserve">Skilled Fisherman Watch </t>
  </si>
  <si>
    <t xml:space="preserve">Fisherman Watch </t>
  </si>
  <si>
    <t xml:space="preserve">Ordinary Fisherman Watch </t>
  </si>
  <si>
    <t xml:space="preserve">Baader Technician </t>
  </si>
  <si>
    <t xml:space="preserve"> / </t>
  </si>
  <si>
    <t>None</t>
  </si>
  <si>
    <t>English 90%</t>
  </si>
  <si>
    <t>English 95%</t>
  </si>
  <si>
    <t>English 100%</t>
  </si>
  <si>
    <t>Dutch</t>
  </si>
  <si>
    <t>French</t>
  </si>
  <si>
    <t>Hungarian</t>
  </si>
  <si>
    <t>Italian</t>
  </si>
  <si>
    <t>Swedish</t>
  </si>
  <si>
    <t>Polish</t>
  </si>
  <si>
    <t>Slovenian</t>
  </si>
  <si>
    <t>Bulgarian</t>
  </si>
  <si>
    <t>Finnish</t>
  </si>
  <si>
    <t>Greek</t>
  </si>
  <si>
    <t>Lithuanian</t>
  </si>
  <si>
    <t>Spanish</t>
  </si>
  <si>
    <t>Yugoslavian</t>
  </si>
  <si>
    <t>Nakhodka, UTS "Araks";</t>
  </si>
  <si>
    <t>Nakhodka, UTS "Primorskoe Morsk.Parokhodstvo";</t>
  </si>
  <si>
    <t>Vladivostok, UTS "Dalnev-e Morsk.Parokhodstvo";</t>
  </si>
  <si>
    <t>Vladivostok, "Vladivostok Morskoy UTS";</t>
  </si>
  <si>
    <t>Petrozavodsk, UTS "SovBOPtrans";</t>
  </si>
  <si>
    <t>S.Petersburg, BUTS "Tekhnischeskiy Litsey";</t>
  </si>
  <si>
    <t>S.Petersburg, BUTS "Trenagerniy Tsentr";</t>
  </si>
  <si>
    <t>S.Petersburg, UTS "Uchebniy-1";</t>
  </si>
  <si>
    <t>S.Petersburg, "Makarov Akademy";</t>
  </si>
  <si>
    <t>Astrakhan, "Nord-Caspian Shipping Co";</t>
  </si>
  <si>
    <t>Nakhodka Harbour Master;</t>
  </si>
  <si>
    <t>Magadan Harbour Master;</t>
  </si>
  <si>
    <t>Rostov-on-Donu Harbour Master;</t>
  </si>
  <si>
    <t>Petrazavodsk Harbour Master;</t>
  </si>
  <si>
    <t>Taganrog Harbour Master;</t>
  </si>
  <si>
    <t>Ilyichevsk (Ukraine) Harbour Master;</t>
  </si>
  <si>
    <t>Kherson (Ukraine) Harbour Master;</t>
  </si>
  <si>
    <t>Tallinn (Estonia) Harbour Master;</t>
  </si>
  <si>
    <t>хочет работать</t>
  </si>
  <si>
    <t>хочет работать - данные импортированы с анкеты.</t>
  </si>
  <si>
    <t>Index:</t>
  </si>
  <si>
    <t>RU</t>
  </si>
  <si>
    <t>AU</t>
  </si>
  <si>
    <t>AT</t>
  </si>
  <si>
    <t>AZ</t>
  </si>
  <si>
    <t>BH</t>
  </si>
  <si>
    <t>BE</t>
  </si>
  <si>
    <t>BZ</t>
  </si>
  <si>
    <t>BO</t>
  </si>
  <si>
    <t>BR</t>
  </si>
  <si>
    <t>MK</t>
  </si>
  <si>
    <t>GT</t>
  </si>
  <si>
    <t>HN</t>
  </si>
  <si>
    <t>HK</t>
  </si>
  <si>
    <t>HU</t>
  </si>
  <si>
    <t>IL</t>
  </si>
  <si>
    <t>LV</t>
  </si>
  <si>
    <t>LY</t>
  </si>
  <si>
    <t>LI</t>
  </si>
  <si>
    <t>LT</t>
  </si>
  <si>
    <t>LU</t>
  </si>
  <si>
    <t>NZ</t>
  </si>
  <si>
    <t>NO</t>
  </si>
  <si>
    <t>PT</t>
  </si>
  <si>
    <t>PR</t>
  </si>
  <si>
    <t>QA</t>
  </si>
  <si>
    <t>RO</t>
  </si>
  <si>
    <t>SY</t>
  </si>
  <si>
    <t>TW</t>
  </si>
  <si>
    <t>TH</t>
  </si>
  <si>
    <t>TT</t>
  </si>
  <si>
    <t>TN</t>
  </si>
  <si>
    <t>UA</t>
  </si>
  <si>
    <t>VE</t>
  </si>
  <si>
    <t>VN</t>
  </si>
  <si>
    <t>YE</t>
  </si>
  <si>
    <t>ZW</t>
  </si>
  <si>
    <t>HOND</t>
  </si>
  <si>
    <t>LA</t>
  </si>
  <si>
    <t>LIB</t>
  </si>
  <si>
    <t>MAL</t>
  </si>
  <si>
    <t>NIS</t>
  </si>
  <si>
    <t>PAN</t>
  </si>
  <si>
    <t>RUS</t>
  </si>
  <si>
    <t>SIN</t>
  </si>
  <si>
    <t>STW</t>
  </si>
  <si>
    <t>TU</t>
  </si>
  <si>
    <t xml:space="preserve"> </t>
  </si>
  <si>
    <t>Ch. Eng./ 2 Eng./OOW Eng. 3,4,5,6"M"</t>
  </si>
  <si>
    <t>2 Eng./OOW Eng. 3,4,5,6"M"</t>
  </si>
  <si>
    <t>OOW Eng. 3,4,5,6"O"</t>
  </si>
  <si>
    <t>Other (Patronimic) Name:</t>
  </si>
  <si>
    <t>Place of Birth:</t>
  </si>
  <si>
    <t>Desired Salary:</t>
  </si>
  <si>
    <t>Minimum Desired salary:</t>
  </si>
  <si>
    <t>Type</t>
  </si>
  <si>
    <t>Basic Survival Techniques. (STCW A-VI/1-1,2,3,4). IMO course 1.13, 1.19, 1.20, 1.21.</t>
  </si>
  <si>
    <t>Proficiency in Survival Craft Training. (STCW A-VI/2-1). IMO course 1.23 .</t>
  </si>
  <si>
    <t>Advanced Fire Fighting Training. (STCW 95 A-VI/3). IMO course 2.03.</t>
  </si>
  <si>
    <t>Hazmat/Hazardous Materials Training. STCW 95, B-V/4, B-V/5.</t>
  </si>
  <si>
    <t>Code</t>
  </si>
  <si>
    <t>1 Class Radioperator;</t>
  </si>
  <si>
    <t>Lesozavodsk</t>
  </si>
  <si>
    <t>Samara, UTS "Dundaga";</t>
  </si>
  <si>
    <t>Odessa (Ukraine) State Maritime Academy;</t>
  </si>
  <si>
    <t>Odessa (Ukraine) Maritime Training Centre;</t>
  </si>
  <si>
    <t>Kiev Centre of Training and Cert of Seafar.</t>
  </si>
  <si>
    <t>Riga (Latvia) LS Crewing &amp; Training Co. Ltd.</t>
  </si>
  <si>
    <t>RankCode2</t>
  </si>
  <si>
    <t>Medical First Aid Training. (STCW A-VI/4-1). . IMO course 1,14.</t>
  </si>
  <si>
    <t>3</t>
  </si>
  <si>
    <t>4</t>
  </si>
  <si>
    <t>5</t>
  </si>
  <si>
    <t>Sm</t>
  </si>
  <si>
    <t>Uyzno-Sakh., "BUTS "Dalnev. Morsk.Company"</t>
  </si>
  <si>
    <t>Kholmsk Harbour Master;</t>
  </si>
  <si>
    <t>Kholmsk, UTS "Sakhalinsk.Morsk.Parokh-vo"</t>
  </si>
  <si>
    <t>N.Novgorod, SBTC "Volga-1"</t>
  </si>
  <si>
    <t>LTV</t>
  </si>
  <si>
    <t>Your E-mail:</t>
  </si>
  <si>
    <t>3 - Controlling the operation of the ship and care of persons on board;4 - Marine Engineering;5 - Electrical, electronic and control engineering;6 - Maintenance and repair.</t>
  </si>
  <si>
    <t>Function</t>
  </si>
  <si>
    <t xml:space="preserve"> And Level</t>
  </si>
  <si>
    <t>M - Management level</t>
  </si>
  <si>
    <t>Limitations</t>
  </si>
  <si>
    <t>MSO - Motor-ships only</t>
  </si>
  <si>
    <t>ICQ Number:</t>
  </si>
  <si>
    <t>A/Seaman - Матрос 1 кл.</t>
  </si>
  <si>
    <t>O/Seaman - Матрос 2 кл.</t>
  </si>
  <si>
    <t>A/Seaman - electric - Матрос - электрик</t>
  </si>
  <si>
    <t>A/Seaman - motorman - Матрос - моторист</t>
  </si>
  <si>
    <t>A/Seaman - pumpman - Матрос - донкерман</t>
  </si>
  <si>
    <t>A/Seaman - reef.machinist - Матрос - реф. Машинист</t>
  </si>
  <si>
    <t>Seaman-Cleaner - Матрос-уборщик</t>
  </si>
  <si>
    <t>O/Seaman-doctor - матрос-доктор</t>
  </si>
  <si>
    <t>= PlUSAVisaNumber</t>
  </si>
  <si>
    <t>=PlSchengenVisaNumber</t>
  </si>
  <si>
    <t>up to 3000 kwt</t>
  </si>
  <si>
    <t>less than 3000 kwt</t>
  </si>
  <si>
    <t>&lt; 3000 kwt</t>
  </si>
  <si>
    <t>less than 5000 kwt</t>
  </si>
  <si>
    <t>&lt; 3000 GRT</t>
  </si>
  <si>
    <t>&gt; 3000 GRT</t>
  </si>
  <si>
    <t>3000 or more</t>
  </si>
  <si>
    <t>Lenses v=+1,0/+1,0</t>
  </si>
  <si>
    <t>Lenses V=-1,5/-1,5</t>
  </si>
  <si>
    <t>corrective lenses (v=+1,5/+1,5)</t>
  </si>
  <si>
    <t>Corrective Lenses v=2,0d</t>
  </si>
  <si>
    <t>Lenses v=+2,0;v= +2,0</t>
  </si>
  <si>
    <t>lenses v=-2,5/-2,5</t>
  </si>
  <si>
    <t>Lenses V=-3,0/-3,0</t>
  </si>
  <si>
    <t>v= -4,0</t>
  </si>
  <si>
    <t>Not valid for oil, gas and chemical tankers</t>
  </si>
  <si>
    <t>Lens Y=-0,75 / &lt; 3260 Kwt 1 st RU / 2 st Ru &lt; 8815 Kwt</t>
  </si>
  <si>
    <t>2 st RU &lt; 815 kwt 1 st ru &lt; 3260 kwt</t>
  </si>
  <si>
    <t xml:space="preserve"> &amp; Level</t>
  </si>
  <si>
    <t>Arkhangelsk, UTS "Kotlas";</t>
  </si>
  <si>
    <t>Arkhangelsk, UTS "Belokamenka";</t>
  </si>
  <si>
    <t>Petrozavodsk, TS "White Sea&amp;Onega Shipping Co";</t>
  </si>
  <si>
    <t>Mariupol (Ukraine) Harbour Master;</t>
  </si>
  <si>
    <t>Sevastopol (Ukraine) Harbour Master;</t>
  </si>
  <si>
    <t>Izmail (Ukraine) Harbour Master;</t>
  </si>
  <si>
    <t>Latvian Seaman Register;</t>
  </si>
  <si>
    <t>Conteiner/Ro-Ro</t>
  </si>
  <si>
    <t>Conteiner/Reefer</t>
  </si>
  <si>
    <t>Firefighting Tug</t>
  </si>
  <si>
    <t>Crane ship</t>
  </si>
  <si>
    <t>Wood-chip carrier</t>
  </si>
  <si>
    <t>Bulker/Cement Carrier</t>
  </si>
  <si>
    <t>Pipe layer</t>
  </si>
  <si>
    <t>Automobile Carrier</t>
  </si>
  <si>
    <t>Chemical/Products Tanker</t>
  </si>
  <si>
    <t>UnitedStates</t>
  </si>
  <si>
    <t>Aruba</t>
  </si>
  <si>
    <t>Australia</t>
  </si>
  <si>
    <t>Austria</t>
  </si>
  <si>
    <t>Azerbaijan</t>
  </si>
  <si>
    <t>Azores</t>
  </si>
  <si>
    <t>Bahamas</t>
  </si>
  <si>
    <t>Bahrain</t>
  </si>
  <si>
    <t>Barbados</t>
  </si>
  <si>
    <t>Belgium</t>
  </si>
  <si>
    <t>Belize</t>
  </si>
  <si>
    <t>Benin</t>
  </si>
  <si>
    <t>Bermuda</t>
  </si>
  <si>
    <t>Bhutan</t>
  </si>
  <si>
    <t>Bolivia</t>
  </si>
  <si>
    <t>BosniaHerzegovina</t>
  </si>
  <si>
    <t>Botswana</t>
  </si>
  <si>
    <t>Brazil</t>
  </si>
  <si>
    <t>BritishVirginIslands</t>
  </si>
  <si>
    <t>Greenland</t>
  </si>
  <si>
    <t>Grenada</t>
  </si>
  <si>
    <t>Guadeloupe</t>
  </si>
  <si>
    <t>Guam</t>
  </si>
  <si>
    <t>Guantanamo</t>
  </si>
  <si>
    <t>Guatemala</t>
  </si>
  <si>
    <t>Guinea</t>
  </si>
  <si>
    <t>GuineaBissau</t>
  </si>
  <si>
    <t>Guyana</t>
  </si>
  <si>
    <t>Honduras</t>
  </si>
  <si>
    <t>Iraq</t>
  </si>
  <si>
    <t>Latvia</t>
  </si>
  <si>
    <t>LeewardIslands</t>
  </si>
  <si>
    <t>Lesotho</t>
  </si>
  <si>
    <t>Liberia</t>
  </si>
  <si>
    <t>Libya</t>
  </si>
  <si>
    <t>Malawi</t>
  </si>
  <si>
    <t>Malaysia</t>
  </si>
  <si>
    <t>Malta</t>
  </si>
  <si>
    <t>Moldavia</t>
  </si>
  <si>
    <t>NigerRepublic</t>
  </si>
  <si>
    <t>Norway</t>
  </si>
  <si>
    <t>Panama</t>
  </si>
  <si>
    <t>PapuaNewGuinea</t>
  </si>
  <si>
    <t>Paraguay</t>
  </si>
  <si>
    <t>Peru</t>
  </si>
  <si>
    <t>Philippines</t>
  </si>
  <si>
    <t>Poland</t>
  </si>
  <si>
    <t>Portugal</t>
  </si>
  <si>
    <t>ReunionIslands</t>
  </si>
  <si>
    <t>Romania</t>
  </si>
  <si>
    <t>SaintHelena</t>
  </si>
  <si>
    <t>Singapore</t>
  </si>
  <si>
    <t>SriLanka</t>
  </si>
  <si>
    <t>Sudan</t>
  </si>
  <si>
    <t>Suriname</t>
  </si>
  <si>
    <t>Swaziland</t>
  </si>
  <si>
    <t>Sweden</t>
  </si>
  <si>
    <t>Switzerland</t>
  </si>
  <si>
    <t>Syria</t>
  </si>
  <si>
    <t>Tahiti</t>
  </si>
  <si>
    <t>Taiwan</t>
  </si>
  <si>
    <t>Tajkistan</t>
  </si>
  <si>
    <t>Tanzania</t>
  </si>
  <si>
    <t>Tuvalu</t>
  </si>
  <si>
    <t>Ukraine</t>
  </si>
  <si>
    <t>UnitedArabEmirates</t>
  </si>
  <si>
    <t>UnitedKingdom</t>
  </si>
  <si>
    <t>Uruguay</t>
  </si>
  <si>
    <t>Uzbekistan</t>
  </si>
  <si>
    <t>Vanuatu</t>
  </si>
  <si>
    <t>Venezuela</t>
  </si>
  <si>
    <t>Vietnam</t>
  </si>
  <si>
    <t>Wales</t>
  </si>
  <si>
    <t>WesternSamoa</t>
  </si>
  <si>
    <t>Yemen</t>
  </si>
  <si>
    <t>Yugoslavia</t>
  </si>
  <si>
    <t>Zaire</t>
  </si>
  <si>
    <t>Zambia</t>
  </si>
  <si>
    <t>Zimbabwe</t>
  </si>
  <si>
    <t xml:space="preserve">QMed </t>
  </si>
  <si>
    <t>Registration Form</t>
  </si>
  <si>
    <t>1. Personal Details</t>
  </si>
  <si>
    <t>Position applied for:</t>
  </si>
  <si>
    <t>Surname:</t>
  </si>
  <si>
    <t>First Name:</t>
  </si>
  <si>
    <t>D.O.B.:</t>
  </si>
  <si>
    <t>Permanent Address:</t>
  </si>
  <si>
    <t>Country:</t>
  </si>
  <si>
    <t>City:</t>
  </si>
  <si>
    <t>Phone:</t>
  </si>
  <si>
    <t>Sex:</t>
  </si>
  <si>
    <t>Nationality:</t>
  </si>
  <si>
    <t>Marital Status:</t>
  </si>
  <si>
    <t>Education:</t>
  </si>
  <si>
    <t>2. Additional Information:</t>
  </si>
  <si>
    <t>Weight:</t>
  </si>
  <si>
    <t>Height:</t>
  </si>
  <si>
    <t>Shoes Size:</t>
  </si>
  <si>
    <t>Clothes Size:</t>
  </si>
  <si>
    <t>Head Size:</t>
  </si>
  <si>
    <t>Eyes color:</t>
  </si>
  <si>
    <t>Hair's color:</t>
  </si>
  <si>
    <t>Skin's color:</t>
  </si>
  <si>
    <t>For Russians Only</t>
  </si>
  <si>
    <t>Civil Passport:</t>
  </si>
  <si>
    <t>Tourist's Passport:</t>
  </si>
  <si>
    <t>Seaman's Book:</t>
  </si>
  <si>
    <t>Anufriev</t>
  </si>
  <si>
    <t>Artyom</t>
  </si>
  <si>
    <t>Aleksandrovich</t>
  </si>
  <si>
    <t>Arkhangelsk</t>
  </si>
  <si>
    <t>artyomaleksandrovich@yandex.ru</t>
  </si>
  <si>
    <t>Arkhangelsk marine college ship Engineer, 2002</t>
  </si>
  <si>
    <t>grey</t>
  </si>
  <si>
    <t>11 04</t>
  </si>
  <si>
    <t>Ivan Kireev</t>
  </si>
  <si>
    <t>Deutz</t>
  </si>
  <si>
    <t>4-th ENG.</t>
  </si>
  <si>
    <t>State Hydrographical Company</t>
  </si>
  <si>
    <t>3-rd ENG.</t>
  </si>
  <si>
    <t>Sormovsky-3068</t>
  </si>
  <si>
    <t>Cont./Timb.</t>
  </si>
  <si>
    <t>JSC Nothern river shiping lines</t>
  </si>
  <si>
    <t>Inzhener Plavinskiy</t>
  </si>
  <si>
    <t>Shipline Twelve Ltd.</t>
  </si>
  <si>
    <t>servey ship</t>
  </si>
  <si>
    <t>Novodvinsk, Arkhangelsk region, Russia</t>
  </si>
  <si>
    <t>Kosmonavtov str, 4-61</t>
  </si>
  <si>
    <t>+7 911 588-79-52</t>
  </si>
  <si>
    <t>+7 960 004-10-86  +7 921 677-64-16</t>
  </si>
  <si>
    <t>Arkhangelsk, Russia</t>
  </si>
  <si>
    <t>Seaman's ID:</t>
  </si>
  <si>
    <t>0054411</t>
  </si>
  <si>
    <t>2nd CLASS ENGINEER cat.A</t>
  </si>
  <si>
    <t>Name of Certificates</t>
  </si>
  <si>
    <t>2-nd ENG.</t>
  </si>
  <si>
    <t>Nikolaj Evgenov</t>
  </si>
  <si>
    <t>2-nd ENG.(Single)</t>
  </si>
  <si>
    <t>3rd ENG.</t>
  </si>
  <si>
    <t>Wilson Ruhr</t>
  </si>
  <si>
    <t>Wilson Ship Management</t>
  </si>
  <si>
    <t>3. Passport Detailes</t>
  </si>
  <si>
    <t>4. Conventional Certificates</t>
  </si>
  <si>
    <t>5. Previous Sea Experience (for last 5 years, in normal chronological order)</t>
  </si>
  <si>
    <t>2nd Engineer, 3rd Engineer, Single engineer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</si>
</sst>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sz val="14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9"/>
      <color indexed="12"/>
      <name val="Arial"/>
      <family val="0"/>
    </font>
    <font>
      <b/>
      <sz val="10"/>
      <name val="Arial Cyr"/>
      <family val="0"/>
    </font>
    <font>
      <b/>
      <i/>
      <sz val="20"/>
      <name val="Times New Roman"/>
      <family val="1"/>
    </font>
    <font>
      <sz val="12"/>
      <name val="Arial Cyr"/>
      <family val="0"/>
    </font>
    <font>
      <sz val="12"/>
      <color indexed="12"/>
      <name val="Arial"/>
      <family val="0"/>
    </font>
    <font>
      <sz val="8"/>
      <name val="Arial Cyr"/>
      <family val="0"/>
    </font>
    <font>
      <sz val="10"/>
      <color indexed="22"/>
      <name val="Arial"/>
      <family val="0"/>
    </font>
    <font>
      <sz val="10"/>
      <color indexed="22"/>
      <name val="Arial Cyr"/>
      <family val="0"/>
    </font>
    <font>
      <sz val="10"/>
      <color indexed="58"/>
      <name val="Arial Cyr"/>
      <family val="0"/>
    </font>
    <font>
      <sz val="10"/>
      <color indexed="55"/>
      <name val="Arial Cyr"/>
      <family val="0"/>
    </font>
    <font>
      <b/>
      <sz val="10"/>
      <color indexed="2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55"/>
      </left>
      <right/>
      <top style="double">
        <color indexed="55"/>
      </top>
      <bottom/>
    </border>
    <border>
      <left/>
      <right/>
      <top style="double">
        <color indexed="55"/>
      </top>
      <bottom/>
    </border>
    <border>
      <left style="double">
        <color indexed="55"/>
      </left>
      <right/>
      <top/>
      <bottom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double"/>
      <right/>
      <top style="thin"/>
      <bottom style="thin"/>
    </border>
    <border>
      <left style="double"/>
      <right/>
      <top style="double"/>
      <bottom style="double"/>
    </border>
    <border>
      <left style="double"/>
      <right/>
      <top style="thin"/>
      <bottom style="double"/>
    </border>
    <border>
      <left style="thin">
        <color indexed="55"/>
      </left>
      <right style="medium">
        <color indexed="55"/>
      </right>
      <top style="medium">
        <color indexed="55"/>
      </top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/>
      <top style="medium">
        <color indexed="55"/>
      </top>
      <bottom style="thin">
        <color indexed="55"/>
      </bottom>
    </border>
    <border>
      <left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5"/>
      </bottom>
    </border>
    <border>
      <left style="thin">
        <color indexed="21"/>
      </left>
      <right style="thin">
        <color indexed="21"/>
      </right>
      <top style="thin">
        <color indexed="21"/>
      </top>
      <bottom style="double">
        <color indexed="55"/>
      </bottom>
    </border>
    <border>
      <left style="thin">
        <color indexed="21"/>
      </left>
      <right style="thin">
        <color indexed="21"/>
      </right>
      <top style="thin">
        <color indexed="8"/>
      </top>
      <bottom style="double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 style="medium">
        <color indexed="55"/>
      </bottom>
    </border>
    <border>
      <left style="thin">
        <color indexed="55"/>
      </left>
      <right/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/>
      <top style="medium">
        <color indexed="55"/>
      </top>
      <bottom style="thin">
        <color indexed="55"/>
      </bottom>
    </border>
    <border>
      <left/>
      <right style="medium">
        <color indexed="55"/>
      </right>
      <top style="medium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medium">
        <color indexed="55"/>
      </bottom>
    </border>
    <border>
      <left/>
      <right style="thin">
        <color indexed="55"/>
      </right>
      <top style="medium">
        <color indexed="55"/>
      </top>
      <bottom style="thin">
        <color indexed="55"/>
      </bottom>
    </border>
    <border>
      <left/>
      <right/>
      <top style="medium">
        <color indexed="55"/>
      </top>
      <bottom/>
    </border>
    <border>
      <left/>
      <right/>
      <top style="medium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medium">
        <color indexed="55"/>
      </right>
      <top style="thin">
        <color indexed="55"/>
      </top>
      <bottom>
        <color indexed="63"/>
      </bottom>
    </border>
    <border>
      <left style="double">
        <color indexed="23"/>
      </left>
      <right/>
      <top style="double">
        <color indexed="23"/>
      </top>
      <bottom/>
    </border>
    <border>
      <left/>
      <right style="double">
        <color indexed="23"/>
      </right>
      <top style="double">
        <color indexed="23"/>
      </top>
      <bottom/>
    </border>
    <border>
      <left style="double">
        <color indexed="23"/>
      </left>
      <right/>
      <top/>
      <bottom/>
    </border>
    <border>
      <left/>
      <right style="double">
        <color indexed="23"/>
      </right>
      <top/>
      <bottom/>
    </border>
    <border>
      <left style="double">
        <color indexed="23"/>
      </left>
      <right/>
      <top/>
      <bottom style="double">
        <color indexed="23"/>
      </bottom>
    </border>
    <border>
      <left/>
      <right style="double">
        <color indexed="23"/>
      </right>
      <top/>
      <bottom style="double">
        <color indexed="23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/>
      <right style="thin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55"/>
      </left>
      <right/>
      <top/>
      <bottom style="medium">
        <color indexed="55"/>
      </bottom>
    </border>
    <border>
      <left/>
      <right style="thin">
        <color indexed="55"/>
      </right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/>
      <right style="medium">
        <color indexed="55"/>
      </right>
      <top style="thin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wrapText="1"/>
      <protection hidden="1"/>
    </xf>
    <xf numFmtId="0" fontId="0" fillId="33" borderId="0" xfId="0" applyFill="1" applyAlignment="1" applyProtection="1">
      <alignment wrapText="1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11" fillId="33" borderId="16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 horizontal="center" vertical="center" wrapText="1"/>
      <protection hidden="1"/>
    </xf>
    <xf numFmtId="0" fontId="0" fillId="33" borderId="17" xfId="0" applyFill="1" applyBorder="1" applyAlignment="1" applyProtection="1">
      <alignment horizontal="center" vertical="center"/>
      <protection hidden="1"/>
    </xf>
    <xf numFmtId="0" fontId="9" fillId="33" borderId="17" xfId="0" applyFont="1" applyFill="1" applyBorder="1" applyAlignment="1" applyProtection="1">
      <alignment horizontal="center" vertical="center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0" fillId="33" borderId="19" xfId="0" applyFill="1" applyBorder="1" applyAlignment="1" applyProtection="1">
      <alignment/>
      <protection hidden="1"/>
    </xf>
    <xf numFmtId="14" fontId="0" fillId="33" borderId="12" xfId="0" applyNumberForma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right"/>
      <protection hidden="1"/>
    </xf>
    <xf numFmtId="0" fontId="0" fillId="33" borderId="20" xfId="0" applyFill="1" applyBorder="1" applyAlignment="1" applyProtection="1">
      <alignment wrapText="1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horizontal="left"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3" fillId="0" borderId="23" xfId="53" applyNumberFormat="1" applyFont="1" applyFill="1" applyBorder="1" applyAlignment="1">
      <alignment horizontal="right" wrapText="1"/>
      <protection/>
    </xf>
    <xf numFmtId="0" fontId="3" fillId="0" borderId="23" xfId="53" applyNumberFormat="1" applyFont="1" applyFill="1" applyBorder="1" applyAlignment="1">
      <alignment wrapText="1"/>
      <protection/>
    </xf>
    <xf numFmtId="1" fontId="4" fillId="34" borderId="24" xfId="0" applyNumberFormat="1" applyFont="1" applyFill="1" applyBorder="1" applyAlignment="1" applyProtection="1">
      <alignment horizontal="right"/>
      <protection hidden="1" locked="0"/>
    </xf>
    <xf numFmtId="2" fontId="4" fillId="34" borderId="24" xfId="0" applyNumberFormat="1" applyFont="1" applyFill="1" applyBorder="1" applyAlignment="1" applyProtection="1">
      <alignment horizontal="right"/>
      <protection hidden="1" locked="0"/>
    </xf>
    <xf numFmtId="49" fontId="4" fillId="34" borderId="24" xfId="0" applyNumberFormat="1" applyFont="1" applyFill="1" applyBorder="1" applyAlignment="1" applyProtection="1">
      <alignment/>
      <protection hidden="1" locked="0"/>
    </xf>
    <xf numFmtId="49" fontId="4" fillId="34" borderId="24" xfId="0" applyNumberFormat="1" applyFont="1" applyFill="1" applyBorder="1" applyAlignment="1" applyProtection="1">
      <alignment horizontal="left"/>
      <protection hidden="1" locked="0"/>
    </xf>
    <xf numFmtId="49" fontId="8" fillId="35" borderId="25" xfId="0" applyNumberFormat="1" applyFont="1" applyFill="1" applyBorder="1" applyAlignment="1" applyProtection="1">
      <alignment horizontal="left"/>
      <protection hidden="1" locked="0"/>
    </xf>
    <xf numFmtId="14" fontId="4" fillId="35" borderId="25" xfId="0" applyNumberFormat="1" applyFont="1" applyFill="1" applyBorder="1" applyAlignment="1" applyProtection="1">
      <alignment horizontal="left"/>
      <protection hidden="1" locked="0"/>
    </xf>
    <xf numFmtId="14" fontId="4" fillId="34" borderId="26" xfId="0" applyNumberFormat="1" applyFont="1" applyFill="1" applyBorder="1" applyAlignment="1" applyProtection="1">
      <alignment horizontal="left"/>
      <protection hidden="1" locked="0"/>
    </xf>
    <xf numFmtId="14" fontId="4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5" fillId="33" borderId="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 hidden="1"/>
    </xf>
    <xf numFmtId="0" fontId="3" fillId="36" borderId="28" xfId="53" applyNumberFormat="1" applyFont="1" applyFill="1" applyBorder="1" applyAlignment="1">
      <alignment horizontal="center"/>
      <protection/>
    </xf>
    <xf numFmtId="0" fontId="0" fillId="0" borderId="29" xfId="0" applyNumberFormat="1" applyFill="1" applyBorder="1" applyAlignment="1" applyProtection="1">
      <alignment/>
      <protection hidden="1"/>
    </xf>
    <xf numFmtId="0" fontId="3" fillId="0" borderId="30" xfId="53" applyNumberFormat="1" applyFont="1" applyFill="1" applyBorder="1" applyAlignment="1">
      <alignment horizontal="right" wrapText="1"/>
      <protection/>
    </xf>
    <xf numFmtId="0" fontId="0" fillId="0" borderId="0" xfId="0" applyNumberFormat="1" applyAlignment="1">
      <alignment/>
    </xf>
    <xf numFmtId="0" fontId="3" fillId="0" borderId="31" xfId="53" applyNumberFormat="1" applyFont="1" applyFill="1" applyBorder="1" applyAlignment="1">
      <alignment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0" fontId="0" fillId="33" borderId="14" xfId="0" applyNumberFormat="1" applyFill="1" applyBorder="1" applyAlignment="1" applyProtection="1">
      <alignment/>
      <protection hidden="1"/>
    </xf>
    <xf numFmtId="49" fontId="0" fillId="33" borderId="14" xfId="0" applyNumberFormat="1" applyFill="1" applyBorder="1" applyAlignment="1" applyProtection="1">
      <alignment/>
      <protection hidden="1"/>
    </xf>
    <xf numFmtId="14" fontId="4" fillId="35" borderId="32" xfId="0" applyNumberFormat="1" applyFont="1" applyFill="1" applyBorder="1" applyAlignment="1" applyProtection="1">
      <alignment horizontal="center" vertical="center"/>
      <protection hidden="1" locked="0"/>
    </xf>
    <xf numFmtId="0" fontId="17" fillId="33" borderId="0" xfId="0" applyFont="1" applyFill="1" applyBorder="1" applyAlignment="1" applyProtection="1">
      <alignment/>
      <protection hidden="1"/>
    </xf>
    <xf numFmtId="0" fontId="15" fillId="33" borderId="0" xfId="0" applyNumberFormat="1" applyFont="1" applyFill="1" applyBorder="1" applyAlignment="1" applyProtection="1">
      <alignment/>
      <protection hidden="1"/>
    </xf>
    <xf numFmtId="0" fontId="15" fillId="33" borderId="0" xfId="0" applyNumberFormat="1" applyFont="1" applyFill="1" applyBorder="1" applyAlignment="1" applyProtection="1">
      <alignment horizontal="center"/>
      <protection/>
    </xf>
    <xf numFmtId="49" fontId="14" fillId="33" borderId="0" xfId="0" applyNumberFormat="1" applyFont="1" applyFill="1" applyBorder="1" applyAlignment="1" applyProtection="1">
      <alignment horizontal="right" vertical="center"/>
      <protection/>
    </xf>
    <xf numFmtId="0" fontId="14" fillId="33" borderId="0" xfId="0" applyNumberFormat="1" applyFont="1" applyFill="1" applyBorder="1" applyAlignment="1" applyProtection="1">
      <alignment horizontal="right" vertical="center"/>
      <protection/>
    </xf>
    <xf numFmtId="0" fontId="14" fillId="33" borderId="0" xfId="0" applyNumberFormat="1" applyFont="1" applyFill="1" applyAlignment="1" applyProtection="1">
      <alignment/>
      <protection/>
    </xf>
    <xf numFmtId="1" fontId="18" fillId="33" borderId="0" xfId="0" applyNumberFormat="1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5" fillId="33" borderId="0" xfId="0" applyNumberFormat="1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0" fillId="0" borderId="14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14" fontId="3" fillId="0" borderId="23" xfId="53" applyNumberFormat="1" applyFont="1" applyFill="1" applyBorder="1" applyAlignment="1">
      <alignment horizontal="right" wrapText="1"/>
      <protection/>
    </xf>
    <xf numFmtId="14" fontId="3" fillId="0" borderId="23" xfId="53" applyNumberFormat="1" applyFont="1" applyFill="1" applyBorder="1" applyAlignment="1">
      <alignment wrapText="1"/>
      <protection/>
    </xf>
    <xf numFmtId="2" fontId="3" fillId="0" borderId="23" xfId="53" applyNumberFormat="1" applyFont="1" applyFill="1" applyBorder="1" applyAlignment="1">
      <alignment wrapText="1"/>
      <protection/>
    </xf>
    <xf numFmtId="49" fontId="3" fillId="0" borderId="23" xfId="53" applyNumberFormat="1" applyFont="1" applyFill="1" applyBorder="1" applyAlignment="1">
      <alignment wrapText="1"/>
      <protection/>
    </xf>
    <xf numFmtId="49" fontId="4" fillId="35" borderId="24" xfId="0" applyNumberFormat="1" applyFont="1" applyFill="1" applyBorder="1" applyAlignment="1" applyProtection="1">
      <alignment horizontal="left" vertical="top" wrapText="1"/>
      <protection hidden="1" locked="0"/>
    </xf>
    <xf numFmtId="49" fontId="4" fillId="34" borderId="33" xfId="0" applyNumberFormat="1" applyFont="1" applyFill="1" applyBorder="1" applyAlignment="1" applyProtection="1">
      <alignment vertical="center"/>
      <protection hidden="1" locked="0"/>
    </xf>
    <xf numFmtId="49" fontId="3" fillId="0" borderId="23" xfId="53" applyNumberFormat="1" applyFont="1" applyFill="1" applyBorder="1" applyAlignment="1" applyProtection="1">
      <alignment wrapText="1"/>
      <protection hidden="1"/>
    </xf>
    <xf numFmtId="0" fontId="4" fillId="35" borderId="34" xfId="0" applyFont="1" applyFill="1" applyBorder="1" applyAlignment="1" applyProtection="1">
      <alignment horizontal="left"/>
      <protection locked="0"/>
    </xf>
    <xf numFmtId="164" fontId="4" fillId="35" borderId="25" xfId="0" applyNumberFormat="1" applyFont="1" applyFill="1" applyBorder="1" applyAlignment="1" applyProtection="1">
      <alignment horizontal="left"/>
      <protection locked="0"/>
    </xf>
    <xf numFmtId="164" fontId="4" fillId="35" borderId="26" xfId="0" applyNumberFormat="1" applyFont="1" applyFill="1" applyBorder="1" applyAlignment="1" applyProtection="1">
      <alignment horizontal="left"/>
      <protection locked="0"/>
    </xf>
    <xf numFmtId="0" fontId="4" fillId="34" borderId="35" xfId="0" applyFont="1" applyFill="1" applyBorder="1" applyAlignment="1" applyProtection="1">
      <alignment horizontal="left"/>
      <protection locked="0"/>
    </xf>
    <xf numFmtId="164" fontId="4" fillId="34" borderId="24" xfId="0" applyNumberFormat="1" applyFont="1" applyFill="1" applyBorder="1" applyAlignment="1" applyProtection="1">
      <alignment horizontal="left"/>
      <protection locked="0"/>
    </xf>
    <xf numFmtId="164" fontId="4" fillId="34" borderId="36" xfId="0" applyNumberFormat="1" applyFont="1" applyFill="1" applyBorder="1" applyAlignment="1" applyProtection="1">
      <alignment horizontal="left"/>
      <protection locked="0"/>
    </xf>
    <xf numFmtId="164" fontId="4" fillId="34" borderId="24" xfId="0" applyNumberFormat="1" applyFont="1" applyFill="1" applyBorder="1" applyAlignment="1" applyProtection="1">
      <alignment horizontal="left" vertical="center"/>
      <protection locked="0"/>
    </xf>
    <xf numFmtId="164" fontId="4" fillId="34" borderId="24" xfId="0" applyNumberFormat="1" applyFont="1" applyFill="1" applyBorder="1" applyAlignment="1" applyProtection="1">
      <alignment horizontal="center" vertical="center"/>
      <protection locked="0"/>
    </xf>
    <xf numFmtId="49" fontId="4" fillId="35" borderId="37" xfId="0" applyNumberFormat="1" applyFont="1" applyFill="1" applyBorder="1" applyAlignment="1" applyProtection="1">
      <alignment horizontal="left" vertical="center"/>
      <protection locked="0"/>
    </xf>
    <xf numFmtId="0" fontId="8" fillId="35" borderId="24" xfId="0" applyNumberFormat="1" applyFont="1" applyFill="1" applyBorder="1" applyAlignment="1" applyProtection="1">
      <alignment horizontal="left"/>
      <protection locked="0"/>
    </xf>
    <xf numFmtId="0" fontId="8" fillId="35" borderId="25" xfId="0" applyNumberFormat="1" applyFont="1" applyFill="1" applyBorder="1" applyAlignment="1" applyProtection="1">
      <alignment horizontal="left"/>
      <protection locked="0"/>
    </xf>
    <xf numFmtId="0" fontId="4" fillId="35" borderId="25" xfId="0" applyNumberFormat="1" applyFont="1" applyFill="1" applyBorder="1" applyAlignment="1" applyProtection="1">
      <alignment horizontal="left"/>
      <protection locked="0"/>
    </xf>
    <xf numFmtId="0" fontId="8" fillId="35" borderId="24" xfId="0" applyNumberFormat="1" applyFont="1" applyFill="1" applyBorder="1" applyAlignment="1" applyProtection="1">
      <alignment horizontal="left" vertical="center"/>
      <protection locked="0"/>
    </xf>
    <xf numFmtId="0" fontId="4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4" fillId="34" borderId="35" xfId="0" applyNumberFormat="1" applyFont="1" applyFill="1" applyBorder="1" applyAlignment="1" applyProtection="1">
      <alignment horizontal="left"/>
      <protection locked="0"/>
    </xf>
    <xf numFmtId="0" fontId="4" fillId="35" borderId="37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 wrapText="1"/>
      <protection hidden="1"/>
    </xf>
    <xf numFmtId="164" fontId="4" fillId="37" borderId="34" xfId="0" applyNumberFormat="1" applyFont="1" applyFill="1" applyBorder="1" applyAlignment="1" applyProtection="1">
      <alignment/>
      <protection locked="0"/>
    </xf>
    <xf numFmtId="164" fontId="4" fillId="37" borderId="25" xfId="0" applyNumberFormat="1" applyFont="1" applyFill="1" applyBorder="1" applyAlignment="1" applyProtection="1">
      <alignment/>
      <protection locked="0"/>
    </xf>
    <xf numFmtId="0" fontId="4" fillId="37" borderId="25" xfId="0" applyFont="1" applyFill="1" applyBorder="1" applyAlignment="1" applyProtection="1">
      <alignment/>
      <protection locked="0"/>
    </xf>
    <xf numFmtId="0" fontId="4" fillId="37" borderId="24" xfId="0" applyFont="1" applyFill="1" applyBorder="1" applyAlignment="1" applyProtection="1">
      <alignment/>
      <protection locked="0"/>
    </xf>
    <xf numFmtId="1" fontId="4" fillId="37" borderId="25" xfId="0" applyNumberFormat="1" applyFont="1" applyFill="1" applyBorder="1" applyAlignment="1" applyProtection="1">
      <alignment/>
      <protection locked="0"/>
    </xf>
    <xf numFmtId="164" fontId="4" fillId="37" borderId="35" xfId="0" applyNumberFormat="1" applyFont="1" applyFill="1" applyBorder="1" applyAlignment="1" applyProtection="1">
      <alignment/>
      <protection locked="0"/>
    </xf>
    <xf numFmtId="164" fontId="4" fillId="37" borderId="24" xfId="0" applyNumberFormat="1" applyFont="1" applyFill="1" applyBorder="1" applyAlignment="1" applyProtection="1">
      <alignment/>
      <protection locked="0"/>
    </xf>
    <xf numFmtId="1" fontId="4" fillId="37" borderId="24" xfId="0" applyNumberFormat="1" applyFont="1" applyFill="1" applyBorder="1" applyAlignment="1" applyProtection="1">
      <alignment/>
      <protection locked="0"/>
    </xf>
    <xf numFmtId="0" fontId="4" fillId="37" borderId="24" xfId="0" applyFont="1" applyFill="1" applyBorder="1" applyAlignment="1" applyProtection="1">
      <alignment/>
      <protection locked="0"/>
    </xf>
    <xf numFmtId="0" fontId="4" fillId="34" borderId="26" xfId="0" applyFont="1" applyFill="1" applyBorder="1" applyAlignment="1" applyProtection="1">
      <alignment horizontal="left"/>
      <protection locked="0"/>
    </xf>
    <xf numFmtId="49" fontId="4" fillId="35" borderId="36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36" xfId="0" applyFill="1" applyBorder="1" applyAlignment="1" applyProtection="1">
      <alignment horizontal="center" vertical="center"/>
      <protection hidden="1"/>
    </xf>
    <xf numFmtId="0" fontId="0" fillId="33" borderId="38" xfId="0" applyFill="1" applyBorder="1" applyAlignment="1" applyProtection="1">
      <alignment horizontal="center" vertical="center"/>
      <protection hidden="1"/>
    </xf>
    <xf numFmtId="0" fontId="4" fillId="34" borderId="39" xfId="0" applyFon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/>
      <protection hidden="1"/>
    </xf>
    <xf numFmtId="49" fontId="4" fillId="35" borderId="34" xfId="0" applyNumberFormat="1" applyFont="1" applyFill="1" applyBorder="1" applyAlignment="1" applyProtection="1">
      <alignment horizontal="left"/>
      <protection hidden="1" locked="0"/>
    </xf>
    <xf numFmtId="164" fontId="4" fillId="37" borderId="40" xfId="0" applyNumberFormat="1" applyFont="1" applyFill="1" applyBorder="1" applyAlignment="1" applyProtection="1">
      <alignment/>
      <protection locked="0"/>
    </xf>
    <xf numFmtId="164" fontId="4" fillId="37" borderId="17" xfId="0" applyNumberFormat="1" applyFont="1" applyFill="1" applyBorder="1" applyAlignment="1" applyProtection="1">
      <alignment/>
      <protection locked="0"/>
    </xf>
    <xf numFmtId="0" fontId="4" fillId="37" borderId="17" xfId="0" applyFont="1" applyFill="1" applyBorder="1" applyAlignment="1" applyProtection="1">
      <alignment/>
      <protection locked="0"/>
    </xf>
    <xf numFmtId="0" fontId="4" fillId="37" borderId="17" xfId="0" applyFont="1" applyFill="1" applyBorder="1" applyAlignment="1" applyProtection="1">
      <alignment/>
      <protection locked="0"/>
    </xf>
    <xf numFmtId="1" fontId="4" fillId="37" borderId="17" xfId="0" applyNumberFormat="1" applyFont="1" applyFill="1" applyBorder="1" applyAlignment="1" applyProtection="1">
      <alignment/>
      <protection locked="0"/>
    </xf>
    <xf numFmtId="49" fontId="4" fillId="38" borderId="41" xfId="0" applyNumberFormat="1" applyFont="1" applyFill="1" applyBorder="1" applyAlignment="1" applyProtection="1">
      <alignment horizontal="center"/>
      <protection hidden="1" locked="0"/>
    </xf>
    <xf numFmtId="49" fontId="4" fillId="38" borderId="42" xfId="0" applyNumberFormat="1" applyFont="1" applyFill="1" applyBorder="1" applyAlignment="1" applyProtection="1">
      <alignment horizontal="center"/>
      <protection hidden="1" locked="0"/>
    </xf>
    <xf numFmtId="0" fontId="0" fillId="33" borderId="36" xfId="0" applyFill="1" applyBorder="1" applyAlignment="1" applyProtection="1">
      <alignment horizontal="center" vertical="center"/>
      <protection hidden="1"/>
    </xf>
    <xf numFmtId="0" fontId="0" fillId="33" borderId="43" xfId="0" applyFill="1" applyBorder="1" applyAlignment="1" applyProtection="1">
      <alignment horizontal="center" vertical="center"/>
      <protection hidden="1"/>
    </xf>
    <xf numFmtId="49" fontId="4" fillId="35" borderId="36" xfId="0" applyNumberFormat="1" applyFont="1" applyFill="1" applyBorder="1" applyAlignment="1" applyProtection="1">
      <alignment horizontal="left" vertical="top" wrapText="1"/>
      <protection hidden="1" locked="0"/>
    </xf>
    <xf numFmtId="49" fontId="4" fillId="35" borderId="43" xfId="0" applyNumberFormat="1" applyFont="1" applyFill="1" applyBorder="1" applyAlignment="1" applyProtection="1">
      <alignment horizontal="left" vertical="top" wrapText="1"/>
      <protection hidden="1" locked="0"/>
    </xf>
    <xf numFmtId="0" fontId="4" fillId="34" borderId="44" xfId="0" applyNumberFormat="1" applyFont="1" applyFill="1" applyBorder="1" applyAlignment="1" applyProtection="1">
      <alignment horizontal="center"/>
      <protection hidden="1" locked="0"/>
    </xf>
    <xf numFmtId="49" fontId="4" fillId="34" borderId="45" xfId="0" applyNumberFormat="1" applyFont="1" applyFill="1" applyBorder="1" applyAlignment="1" applyProtection="1">
      <alignment horizontal="center"/>
      <protection hidden="1" locked="0"/>
    </xf>
    <xf numFmtId="0" fontId="0" fillId="33" borderId="36" xfId="0" applyFill="1" applyBorder="1" applyAlignment="1" applyProtection="1">
      <alignment horizontal="left" vertical="center" wrapText="1"/>
      <protection hidden="1"/>
    </xf>
    <xf numFmtId="0" fontId="0" fillId="33" borderId="46" xfId="0" applyFill="1" applyBorder="1" applyAlignment="1" applyProtection="1">
      <alignment horizontal="left" vertical="center" wrapText="1"/>
      <protection hidden="1"/>
    </xf>
    <xf numFmtId="0" fontId="0" fillId="33" borderId="43" xfId="0" applyFill="1" applyBorder="1" applyAlignment="1" applyProtection="1">
      <alignment horizontal="left" vertical="center" wrapText="1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38" xfId="0" applyFont="1" applyFill="1" applyBorder="1" applyAlignment="1" applyProtection="1">
      <alignment horizontal="center" vertical="center" wrapText="1"/>
      <protection hidden="1"/>
    </xf>
    <xf numFmtId="0" fontId="9" fillId="33" borderId="47" xfId="0" applyFont="1" applyFill="1" applyBorder="1" applyAlignment="1" applyProtection="1">
      <alignment horizontal="center" vertical="center" wrapText="1"/>
      <protection hidden="1"/>
    </xf>
    <xf numFmtId="49" fontId="4" fillId="34" borderId="38" xfId="0" applyNumberFormat="1" applyFont="1" applyFill="1" applyBorder="1" applyAlignment="1" applyProtection="1">
      <alignment horizontal="left" vertical="center"/>
      <protection locked="0"/>
    </xf>
    <xf numFmtId="49" fontId="4" fillId="34" borderId="47" xfId="0" applyNumberFormat="1" applyFont="1" applyFill="1" applyBorder="1" applyAlignment="1" applyProtection="1">
      <alignment horizontal="left" vertical="center"/>
      <protection locked="0"/>
    </xf>
    <xf numFmtId="49" fontId="4" fillId="34" borderId="26" xfId="0" applyNumberFormat="1" applyFont="1" applyFill="1" applyBorder="1" applyAlignment="1" applyProtection="1">
      <alignment horizontal="left" vertical="center" wrapText="1"/>
      <protection hidden="1" locked="0"/>
    </xf>
    <xf numFmtId="49" fontId="4" fillId="34" borderId="48" xfId="0" applyNumberFormat="1" applyFont="1" applyFill="1" applyBorder="1" applyAlignment="1" applyProtection="1">
      <alignment horizontal="left" vertical="center" wrapText="1"/>
      <protection hidden="1" locked="0"/>
    </xf>
    <xf numFmtId="0" fontId="4" fillId="37" borderId="36" xfId="0" applyFont="1" applyFill="1" applyBorder="1" applyAlignment="1" applyProtection="1">
      <alignment/>
      <protection locked="0"/>
    </xf>
    <xf numFmtId="0" fontId="4" fillId="37" borderId="43" xfId="0" applyFont="1" applyFill="1" applyBorder="1" applyAlignment="1" applyProtection="1">
      <alignment/>
      <protection locked="0"/>
    </xf>
    <xf numFmtId="0" fontId="0" fillId="37" borderId="49" xfId="0" applyFill="1" applyBorder="1" applyAlignment="1" applyProtection="1">
      <alignment/>
      <protection hidden="1"/>
    </xf>
    <xf numFmtId="0" fontId="0" fillId="37" borderId="49" xfId="0" applyFill="1" applyBorder="1" applyAlignment="1">
      <alignment/>
    </xf>
    <xf numFmtId="0" fontId="4" fillId="37" borderId="26" xfId="0" applyFont="1" applyFill="1" applyBorder="1" applyAlignment="1" applyProtection="1">
      <alignment/>
      <protection locked="0"/>
    </xf>
    <xf numFmtId="0" fontId="4" fillId="37" borderId="50" xfId="0" applyFont="1" applyFill="1" applyBorder="1" applyAlignment="1" applyProtection="1">
      <alignment/>
      <protection locked="0"/>
    </xf>
    <xf numFmtId="0" fontId="4" fillId="37" borderId="42" xfId="0" applyFont="1" applyFill="1" applyBorder="1" applyAlignment="1" applyProtection="1">
      <alignment/>
      <protection locked="0"/>
    </xf>
    <xf numFmtId="0" fontId="4" fillId="37" borderId="48" xfId="0" applyFont="1" applyFill="1" applyBorder="1" applyAlignment="1" applyProtection="1">
      <alignment/>
      <protection locked="0"/>
    </xf>
    <xf numFmtId="0" fontId="4" fillId="37" borderId="46" xfId="0" applyFont="1" applyFill="1" applyBorder="1" applyAlignment="1" applyProtection="1">
      <alignment/>
      <protection locked="0"/>
    </xf>
    <xf numFmtId="0" fontId="4" fillId="37" borderId="51" xfId="0" applyFont="1" applyFill="1" applyBorder="1" applyAlignment="1" applyProtection="1">
      <alignment/>
      <protection locked="0"/>
    </xf>
    <xf numFmtId="0" fontId="4" fillId="37" borderId="36" xfId="0" applyFont="1" applyFill="1" applyBorder="1" applyAlignment="1" applyProtection="1">
      <alignment/>
      <protection locked="0"/>
    </xf>
    <xf numFmtId="0" fontId="4" fillId="37" borderId="44" xfId="0" applyFont="1" applyFill="1" applyBorder="1" applyAlignment="1" applyProtection="1">
      <alignment/>
      <protection locked="0"/>
    </xf>
    <xf numFmtId="0" fontId="4" fillId="37" borderId="52" xfId="0" applyFont="1" applyFill="1" applyBorder="1" applyAlignment="1" applyProtection="1">
      <alignment/>
      <protection locked="0"/>
    </xf>
    <xf numFmtId="0" fontId="4" fillId="37" borderId="45" xfId="0" applyFont="1" applyFill="1" applyBorder="1" applyAlignment="1" applyProtection="1">
      <alignment/>
      <protection locked="0"/>
    </xf>
    <xf numFmtId="0" fontId="4" fillId="37" borderId="53" xfId="0" applyFont="1" applyFill="1" applyBorder="1" applyAlignment="1" applyProtection="1">
      <alignment/>
      <protection locked="0"/>
    </xf>
    <xf numFmtId="0" fontId="4" fillId="35" borderId="36" xfId="0" applyNumberFormat="1" applyFont="1" applyFill="1" applyBorder="1" applyAlignment="1" applyProtection="1">
      <alignment horizontal="left"/>
      <protection hidden="1" locked="0"/>
    </xf>
    <xf numFmtId="49" fontId="4" fillId="35" borderId="46" xfId="0" applyNumberFormat="1" applyFont="1" applyFill="1" applyBorder="1" applyAlignment="1" applyProtection="1">
      <alignment horizontal="left"/>
      <protection hidden="1" locked="0"/>
    </xf>
    <xf numFmtId="49" fontId="4" fillId="35" borderId="43" xfId="0" applyNumberFormat="1" applyFont="1" applyFill="1" applyBorder="1" applyAlignment="1" applyProtection="1">
      <alignment horizontal="left"/>
      <protection hidden="1" locked="0"/>
    </xf>
    <xf numFmtId="0" fontId="0" fillId="0" borderId="49" xfId="0" applyFill="1" applyBorder="1" applyAlignment="1" applyProtection="1">
      <alignment/>
      <protection hidden="1"/>
    </xf>
    <xf numFmtId="0" fontId="0" fillId="0" borderId="49" xfId="0" applyBorder="1" applyAlignment="1">
      <alignment/>
    </xf>
    <xf numFmtId="49" fontId="2" fillId="35" borderId="36" xfId="42" applyNumberFormat="1" applyFill="1" applyBorder="1" applyAlignment="1" applyProtection="1">
      <alignment horizontal="center"/>
      <protection hidden="1" locked="0"/>
    </xf>
    <xf numFmtId="49" fontId="4" fillId="35" borderId="46" xfId="0" applyNumberFormat="1" applyFont="1" applyFill="1" applyBorder="1" applyAlignment="1" applyProtection="1">
      <alignment horizontal="center"/>
      <protection hidden="1" locked="0"/>
    </xf>
    <xf numFmtId="49" fontId="4" fillId="35" borderId="43" xfId="0" applyNumberFormat="1" applyFont="1" applyFill="1" applyBorder="1" applyAlignment="1" applyProtection="1">
      <alignment horizontal="center"/>
      <protection hidden="1" locked="0"/>
    </xf>
    <xf numFmtId="0" fontId="0" fillId="33" borderId="38" xfId="0" applyFill="1" applyBorder="1" applyAlignment="1" applyProtection="1">
      <alignment horizontal="center" vertical="center" wrapText="1"/>
      <protection hidden="1"/>
    </xf>
    <xf numFmtId="0" fontId="0" fillId="33" borderId="47" xfId="0" applyFill="1" applyBorder="1" applyAlignment="1" applyProtection="1">
      <alignment horizontal="center" vertical="center" wrapText="1"/>
      <protection hidden="1"/>
    </xf>
    <xf numFmtId="0" fontId="0" fillId="0" borderId="54" xfId="0" applyNumberFormat="1" applyFill="1" applyBorder="1" applyAlignment="1" applyProtection="1">
      <alignment horizontal="center"/>
      <protection locked="0"/>
    </xf>
    <xf numFmtId="0" fontId="0" fillId="0" borderId="55" xfId="0" applyNumberFormat="1" applyFill="1" applyBorder="1" applyAlignment="1" applyProtection="1">
      <alignment horizontal="center"/>
      <protection locked="0"/>
    </xf>
    <xf numFmtId="0" fontId="0" fillId="0" borderId="56" xfId="0" applyNumberFormat="1" applyFill="1" applyBorder="1" applyAlignment="1" applyProtection="1">
      <alignment horizontal="center"/>
      <protection locked="0"/>
    </xf>
    <xf numFmtId="0" fontId="0" fillId="0" borderId="57" xfId="0" applyNumberFormat="1" applyFill="1" applyBorder="1" applyAlignment="1" applyProtection="1">
      <alignment horizontal="center"/>
      <protection locked="0"/>
    </xf>
    <xf numFmtId="0" fontId="0" fillId="0" borderId="58" xfId="0" applyNumberFormat="1" applyFill="1" applyBorder="1" applyAlignment="1" applyProtection="1">
      <alignment horizontal="center"/>
      <protection locked="0"/>
    </xf>
    <xf numFmtId="0" fontId="0" fillId="0" borderId="59" xfId="0" applyNumberFormat="1" applyFill="1" applyBorder="1" applyAlignment="1" applyProtection="1">
      <alignment horizontal="center"/>
      <protection locked="0"/>
    </xf>
    <xf numFmtId="49" fontId="4" fillId="35" borderId="36" xfId="0" applyNumberFormat="1" applyFont="1" applyFill="1" applyBorder="1" applyAlignment="1" applyProtection="1">
      <alignment horizontal="left"/>
      <protection hidden="1" locked="0"/>
    </xf>
    <xf numFmtId="49" fontId="4" fillId="34" borderId="36" xfId="0" applyNumberFormat="1" applyFont="1" applyFill="1" applyBorder="1" applyAlignment="1" applyProtection="1">
      <alignment horizontal="left"/>
      <protection hidden="1" locked="0"/>
    </xf>
    <xf numFmtId="49" fontId="4" fillId="34" borderId="46" xfId="0" applyNumberFormat="1" applyFont="1" applyFill="1" applyBorder="1" applyAlignment="1" applyProtection="1">
      <alignment horizontal="left"/>
      <protection hidden="1" locked="0"/>
    </xf>
    <xf numFmtId="49" fontId="4" fillId="34" borderId="43" xfId="0" applyNumberFormat="1" applyFont="1" applyFill="1" applyBorder="1" applyAlignment="1" applyProtection="1">
      <alignment horizontal="left"/>
      <protection hidden="1" locked="0"/>
    </xf>
    <xf numFmtId="49" fontId="12" fillId="35" borderId="36" xfId="54" applyNumberFormat="1" applyFont="1" applyFill="1" applyBorder="1" applyAlignment="1" applyProtection="1">
      <alignment horizontal="left"/>
      <protection hidden="1" locked="0"/>
    </xf>
    <xf numFmtId="0" fontId="11" fillId="0" borderId="46" xfId="0" applyFont="1" applyBorder="1" applyAlignment="1" applyProtection="1">
      <alignment/>
      <protection locked="0"/>
    </xf>
    <xf numFmtId="0" fontId="11" fillId="0" borderId="43" xfId="0" applyFont="1" applyBorder="1" applyAlignment="1" applyProtection="1">
      <alignment/>
      <protection locked="0"/>
    </xf>
    <xf numFmtId="49" fontId="4" fillId="0" borderId="36" xfId="0" applyNumberFormat="1" applyFont="1" applyFill="1" applyBorder="1" applyAlignment="1" applyProtection="1">
      <alignment horizontal="left"/>
      <protection hidden="1" locked="0"/>
    </xf>
    <xf numFmtId="49" fontId="4" fillId="0" borderId="46" xfId="0" applyNumberFormat="1" applyFont="1" applyFill="1" applyBorder="1" applyAlignment="1" applyProtection="1">
      <alignment horizontal="left"/>
      <protection hidden="1" locked="0"/>
    </xf>
    <xf numFmtId="49" fontId="4" fillId="0" borderId="43" xfId="0" applyNumberFormat="1" applyFont="1" applyFill="1" applyBorder="1" applyAlignment="1" applyProtection="1">
      <alignment horizontal="left"/>
      <protection hidden="1" locked="0"/>
    </xf>
    <xf numFmtId="0" fontId="4" fillId="34" borderId="44" xfId="0" applyNumberFormat="1" applyFont="1" applyFill="1" applyBorder="1" applyAlignment="1" applyProtection="1">
      <alignment horizontal="left"/>
      <protection hidden="1" locked="0"/>
    </xf>
    <xf numFmtId="49" fontId="4" fillId="34" borderId="52" xfId="0" applyNumberFormat="1" applyFont="1" applyFill="1" applyBorder="1" applyAlignment="1" applyProtection="1">
      <alignment horizontal="left"/>
      <protection hidden="1" locked="0"/>
    </xf>
    <xf numFmtId="49" fontId="4" fillId="34" borderId="26" xfId="0" applyNumberFormat="1" applyFont="1" applyFill="1" applyBorder="1" applyAlignment="1" applyProtection="1">
      <alignment horizontal="center"/>
      <protection hidden="1" locked="0"/>
    </xf>
    <xf numFmtId="49" fontId="4" fillId="34" borderId="48" xfId="0" applyNumberFormat="1" applyFont="1" applyFill="1" applyBorder="1" applyAlignment="1" applyProtection="1">
      <alignment horizontal="center"/>
      <protection hidden="1" locked="0"/>
    </xf>
    <xf numFmtId="14" fontId="4" fillId="35" borderId="44" xfId="0" applyNumberFormat="1" applyFont="1" applyFill="1" applyBorder="1" applyAlignment="1" applyProtection="1">
      <alignment horizontal="left"/>
      <protection hidden="1" locked="0"/>
    </xf>
    <xf numFmtId="14" fontId="4" fillId="35" borderId="52" xfId="0" applyNumberFormat="1" applyFont="1" applyFill="1" applyBorder="1" applyAlignment="1" applyProtection="1">
      <alignment horizontal="left"/>
      <protection hidden="1" locked="0"/>
    </xf>
    <xf numFmtId="0" fontId="4" fillId="35" borderId="46" xfId="0" applyNumberFormat="1" applyFont="1" applyFill="1" applyBorder="1" applyAlignment="1" applyProtection="1">
      <alignment horizontal="left"/>
      <protection hidden="1" locked="0"/>
    </xf>
    <xf numFmtId="0" fontId="4" fillId="35" borderId="43" xfId="0" applyNumberFormat="1" applyFont="1" applyFill="1" applyBorder="1" applyAlignment="1" applyProtection="1">
      <alignment horizontal="left"/>
      <protection hidden="1" locked="0"/>
    </xf>
    <xf numFmtId="0" fontId="4" fillId="34" borderId="36" xfId="0" applyFont="1" applyFill="1" applyBorder="1" applyAlignment="1" applyProtection="1">
      <alignment horizontal="center"/>
      <protection locked="0"/>
    </xf>
    <xf numFmtId="0" fontId="4" fillId="34" borderId="43" xfId="0" applyFont="1" applyFill="1" applyBorder="1" applyAlignment="1" applyProtection="1">
      <alignment horizontal="center"/>
      <protection locked="0"/>
    </xf>
    <xf numFmtId="0" fontId="0" fillId="33" borderId="44" xfId="0" applyFill="1" applyBorder="1" applyAlignment="1" applyProtection="1">
      <alignment horizontal="center" vertical="center" wrapText="1"/>
      <protection hidden="1"/>
    </xf>
    <xf numFmtId="0" fontId="0" fillId="33" borderId="52" xfId="0" applyFill="1" applyBorder="1" applyAlignment="1" applyProtection="1">
      <alignment horizontal="center" vertical="center" wrapText="1"/>
      <protection hidden="1"/>
    </xf>
    <xf numFmtId="49" fontId="4" fillId="34" borderId="39" xfId="0" applyNumberFormat="1" applyFont="1" applyFill="1" applyBorder="1" applyAlignment="1" applyProtection="1">
      <alignment horizontal="left" vertical="center"/>
      <protection hidden="1" locked="0"/>
    </xf>
    <xf numFmtId="49" fontId="4" fillId="34" borderId="60" xfId="0" applyNumberFormat="1" applyFont="1" applyFill="1" applyBorder="1" applyAlignment="1" applyProtection="1">
      <alignment horizontal="left" vertical="center"/>
      <protection hidden="1" locked="0"/>
    </xf>
    <xf numFmtId="0" fontId="4" fillId="35" borderId="26" xfId="0" applyFont="1" applyFill="1" applyBorder="1" applyAlignment="1" applyProtection="1">
      <alignment horizontal="center"/>
      <protection locked="0"/>
    </xf>
    <xf numFmtId="0" fontId="4" fillId="35" borderId="48" xfId="0" applyFont="1" applyFill="1" applyBorder="1" applyAlignment="1" applyProtection="1">
      <alignment horizontal="center"/>
      <protection locked="0"/>
    </xf>
    <xf numFmtId="0" fontId="9" fillId="33" borderId="36" xfId="0" applyFont="1" applyFill="1" applyBorder="1" applyAlignment="1" applyProtection="1">
      <alignment horizontal="center" vertical="center"/>
      <protection hidden="1"/>
    </xf>
    <xf numFmtId="0" fontId="9" fillId="33" borderId="46" xfId="0" applyFont="1" applyFill="1" applyBorder="1" applyAlignment="1" applyProtection="1">
      <alignment horizontal="center" vertical="center"/>
      <protection hidden="1"/>
    </xf>
    <xf numFmtId="0" fontId="9" fillId="33" borderId="43" xfId="0" applyFont="1" applyFill="1" applyBorder="1" applyAlignment="1" applyProtection="1">
      <alignment horizontal="center" vertical="center"/>
      <protection hidden="1"/>
    </xf>
    <xf numFmtId="49" fontId="4" fillId="34" borderId="39" xfId="0" applyNumberFormat="1" applyFont="1" applyFill="1" applyBorder="1" applyAlignment="1" applyProtection="1">
      <alignment horizontal="left" vertical="center" wrapText="1"/>
      <protection hidden="1" locked="0"/>
    </xf>
    <xf numFmtId="49" fontId="4" fillId="34" borderId="61" xfId="0" applyNumberFormat="1" applyFont="1" applyFill="1" applyBorder="1" applyAlignment="1" applyProtection="1">
      <alignment horizontal="left" vertical="center" wrapText="1"/>
      <protection hidden="1" locked="0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62" xfId="0" applyFill="1" applyBorder="1" applyAlignment="1" applyProtection="1">
      <alignment horizontal="right"/>
      <protection hidden="1"/>
    </xf>
    <xf numFmtId="0" fontId="9" fillId="33" borderId="63" xfId="0" applyFont="1" applyFill="1" applyBorder="1" applyAlignment="1" applyProtection="1">
      <alignment horizontal="center" vertical="center"/>
      <protection hidden="1"/>
    </xf>
    <xf numFmtId="0" fontId="9" fillId="33" borderId="64" xfId="0" applyFont="1" applyFill="1" applyBorder="1" applyAlignment="1" applyProtection="1">
      <alignment horizontal="center" vertical="center"/>
      <protection hidden="1"/>
    </xf>
    <xf numFmtId="0" fontId="0" fillId="33" borderId="38" xfId="0" applyFill="1" applyBorder="1" applyAlignment="1" applyProtection="1">
      <alignment horizontal="center" vertical="center"/>
      <protection hidden="1"/>
    </xf>
    <xf numFmtId="0" fontId="0" fillId="33" borderId="47" xfId="0" applyFill="1" applyBorder="1" applyAlignment="1" applyProtection="1">
      <alignment horizontal="center" vertical="center"/>
      <protection hidden="1"/>
    </xf>
    <xf numFmtId="49" fontId="4" fillId="35" borderId="39" xfId="0" applyNumberFormat="1" applyFont="1" applyFill="1" applyBorder="1" applyAlignment="1" applyProtection="1">
      <alignment horizontal="center" vertical="center"/>
      <protection hidden="1" locked="0"/>
    </xf>
    <xf numFmtId="49" fontId="4" fillId="35" borderId="60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65" xfId="0" applyFont="1" applyFill="1" applyBorder="1" applyAlignment="1" applyProtection="1">
      <alignment horizontal="left"/>
      <protection locked="0"/>
    </xf>
    <xf numFmtId="0" fontId="4" fillId="35" borderId="66" xfId="0" applyFont="1" applyFill="1" applyBorder="1" applyAlignment="1" applyProtection="1">
      <alignment horizontal="left"/>
      <protection locked="0"/>
    </xf>
    <xf numFmtId="0" fontId="4" fillId="35" borderId="61" xfId="0" applyFont="1" applyFill="1" applyBorder="1" applyAlignment="1" applyProtection="1">
      <alignment horizontal="left"/>
      <protection locked="0"/>
    </xf>
    <xf numFmtId="0" fontId="4" fillId="37" borderId="38" xfId="0" applyFont="1" applyFill="1" applyBorder="1" applyAlignment="1" applyProtection="1">
      <alignment/>
      <protection locked="0"/>
    </xf>
    <xf numFmtId="0" fontId="4" fillId="37" borderId="67" xfId="0" applyFont="1" applyFill="1" applyBorder="1" applyAlignment="1" applyProtection="1">
      <alignment/>
      <protection locked="0"/>
    </xf>
    <xf numFmtId="0" fontId="4" fillId="37" borderId="68" xfId="0" applyFont="1" applyFill="1" applyBorder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g Form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32"/>
      </font>
      <fill>
        <patternFill>
          <bgColor indexed="4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color indexed="32"/>
      </font>
      <fill>
        <patternFill>
          <bgColor indexed="4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color indexed="32"/>
      </font>
      <fill>
        <patternFill>
          <bgColor indexed="4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color indexed="32"/>
      </font>
      <fill>
        <patternFill>
          <bgColor indexed="4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indexed="32"/>
      </font>
      <fill>
        <patternFill>
          <bgColor indexed="4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>
        <left style="thin">
          <color rgb="FF969696"/>
        </left>
        <right style="thin">
          <color rgb="FF00FFFF"/>
        </right>
        <top style="thin"/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23</xdr:row>
      <xdr:rowOff>9525</xdr:rowOff>
    </xdr:from>
    <xdr:to>
      <xdr:col>14</xdr:col>
      <xdr:colOff>561975</xdr:colOff>
      <xdr:row>32</xdr:row>
      <xdr:rowOff>161925</xdr:rowOff>
    </xdr:to>
    <xdr:pic>
      <xdr:nvPicPr>
        <xdr:cNvPr id="1" name="Рисунок 1" descr="img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3952875"/>
          <a:ext cx="11715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84;&#1077;&#1093;&#1072;&#1085;&#1080;&#1082;\&#1072;&#1085;&#1082;&#1077;&#1090;&#1099;\&#1040;&#1085;&#1082;&#1077;&#1090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AllData"/>
    </sheetNames>
    <sheetDataSet>
      <sheetData sheetId="0">
        <row r="47">
          <cell r="AR47">
            <v>30341</v>
          </cell>
        </row>
        <row r="48">
          <cell r="AR48">
            <v>40197.38264733796</v>
          </cell>
        </row>
        <row r="50">
          <cell r="AR50" t="str">
            <v>A/B (International)</v>
          </cell>
        </row>
        <row r="51">
          <cell r="AR51" t="str">
            <v>Bosun/Boatswain (International) </v>
          </cell>
        </row>
        <row r="52">
          <cell r="AR52" t="str">
            <v>Bosun/Boatswain (National) </v>
          </cell>
        </row>
        <row r="53">
          <cell r="AR53" t="str">
            <v>CHIEF MATE</v>
          </cell>
        </row>
        <row r="54">
          <cell r="AR54" t="str">
            <v>Cook (National)</v>
          </cell>
        </row>
        <row r="55">
          <cell r="AR55" t="str">
            <v>Electrician (National)</v>
          </cell>
        </row>
        <row r="56">
          <cell r="AR56" t="str">
            <v>FIRST CLASS ELECTRO ENGINEER</v>
          </cell>
        </row>
        <row r="57">
          <cell r="AR57" t="str">
            <v>FIRST CLASS Eng.</v>
          </cell>
        </row>
        <row r="58">
          <cell r="AR58" t="str">
            <v>Fitter - Oiler (International)</v>
          </cell>
        </row>
        <row r="59">
          <cell r="AR59" t="str">
            <v>GMDSS ELECTRONIC</v>
          </cell>
        </row>
        <row r="60">
          <cell r="AR60" t="str">
            <v>GMDSS GENERAL OPERATOR </v>
          </cell>
        </row>
        <row r="61">
          <cell r="AR61" t="str">
            <v>GMDSS RESTRICTED OPERATOR </v>
          </cell>
        </row>
        <row r="62">
          <cell r="AR62" t="str">
            <v>MASTER</v>
          </cell>
        </row>
        <row r="63">
          <cell r="AR63" t="str">
            <v>Officer On Watch (OOW) Navigational</v>
          </cell>
        </row>
        <row r="64">
          <cell r="AR64" t="str">
            <v>Oiler (International)</v>
          </cell>
        </row>
        <row r="65">
          <cell r="AR65" t="str">
            <v>Oiler (National)</v>
          </cell>
        </row>
        <row r="66">
          <cell r="AR66" t="str">
            <v>SECOND CLASS ELECTRO ENGINEER</v>
          </cell>
        </row>
        <row r="67">
          <cell r="AR67" t="str">
            <v>SECOND CLASS ENGINEER Cat. A</v>
          </cell>
        </row>
        <row r="68">
          <cell r="AR68" t="str">
            <v>SECOND CLASS ENGINEER Cat. B</v>
          </cell>
        </row>
        <row r="69">
          <cell r="AR69" t="str">
            <v>Steward (National)</v>
          </cell>
        </row>
        <row r="70">
          <cell r="AR70" t="str">
            <v>Tankerman (National)</v>
          </cell>
        </row>
        <row r="71">
          <cell r="AR71" t="str">
            <v>THIRD CLASS ELECTRO ENGINEER</v>
          </cell>
        </row>
        <row r="72">
          <cell r="AR72" t="str">
            <v>THIRD CLASS ENGINEER Cat. A</v>
          </cell>
        </row>
        <row r="73">
          <cell r="AR73" t="str">
            <v>THIRD CLASS ENGINEER Cat. B</v>
          </cell>
        </row>
        <row r="74">
          <cell r="AR74" t="str">
            <v>Turner (National)</v>
          </cell>
        </row>
        <row r="75">
          <cell r="AR75" t="str">
            <v>Welder (National)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tyomaleksandrovich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98"/>
  <sheetViews>
    <sheetView tabSelected="1" showOutlineSymbols="0" view="pageBreakPreview" zoomScaleSheetLayoutView="100" workbookViewId="0" topLeftCell="B32">
      <selection activeCell="I46" sqref="I46"/>
    </sheetView>
  </sheetViews>
  <sheetFormatPr defaultColWidth="13.875" defaultRowHeight="12.75"/>
  <cols>
    <col min="1" max="1" width="16.625" style="4" hidden="1" customWidth="1"/>
    <col min="2" max="2" width="12.75390625" style="4" customWidth="1"/>
    <col min="3" max="3" width="12.625" style="4" customWidth="1"/>
    <col min="4" max="4" width="9.125" style="4" customWidth="1"/>
    <col min="5" max="5" width="12.00390625" style="4" customWidth="1"/>
    <col min="6" max="6" width="18.125" style="4" customWidth="1"/>
    <col min="7" max="7" width="15.625" style="4" customWidth="1"/>
    <col min="8" max="8" width="12.75390625" style="4" customWidth="1"/>
    <col min="9" max="9" width="16.125" style="4" customWidth="1"/>
    <col min="10" max="10" width="13.375" style="4" customWidth="1"/>
    <col min="11" max="11" width="16.25390625" style="4" customWidth="1"/>
    <col min="12" max="12" width="17.00390625" style="4" customWidth="1"/>
    <col min="13" max="14" width="13.00390625" style="4" customWidth="1"/>
    <col min="15" max="15" width="12.375" style="4" customWidth="1"/>
    <col min="16" max="17" width="20.875" style="4" customWidth="1"/>
    <col min="18" max="18" width="31.375" style="4" hidden="1" customWidth="1"/>
    <col min="19" max="51" width="20.875" style="4" hidden="1" customWidth="1"/>
    <col min="52" max="238" width="20.875" style="4" customWidth="1"/>
    <col min="239" max="239" width="14.375" style="4" customWidth="1"/>
    <col min="240" max="16384" width="13.875" style="4" customWidth="1"/>
  </cols>
  <sheetData>
    <row r="1" spans="1:232" ht="13.5" hidden="1" thickBot="1">
      <c r="A1" s="53"/>
      <c r="B1" s="54" t="s">
        <v>1</v>
      </c>
      <c r="C1" s="54" t="s">
        <v>93</v>
      </c>
      <c r="D1" s="54" t="s">
        <v>94</v>
      </c>
      <c r="E1" s="54" t="s">
        <v>95</v>
      </c>
      <c r="F1" s="54" t="s">
        <v>96</v>
      </c>
      <c r="G1" s="54" t="s">
        <v>97</v>
      </c>
      <c r="H1" s="54" t="s">
        <v>98</v>
      </c>
      <c r="I1" s="54" t="s">
        <v>99</v>
      </c>
      <c r="J1" s="54" t="s">
        <v>100</v>
      </c>
      <c r="K1" s="54" t="s">
        <v>101</v>
      </c>
      <c r="L1" s="54" t="s">
        <v>102</v>
      </c>
      <c r="M1" s="54" t="s">
        <v>103</v>
      </c>
      <c r="N1" s="54" t="s">
        <v>104</v>
      </c>
      <c r="O1" s="54" t="s">
        <v>105</v>
      </c>
      <c r="P1" s="54" t="s">
        <v>106</v>
      </c>
      <c r="Q1" s="54" t="s">
        <v>107</v>
      </c>
      <c r="R1" s="54" t="s">
        <v>108</v>
      </c>
      <c r="S1" s="54" t="s">
        <v>109</v>
      </c>
      <c r="T1" s="54" t="s">
        <v>110</v>
      </c>
      <c r="U1" s="54" t="s">
        <v>111</v>
      </c>
      <c r="V1" s="54" t="s">
        <v>112</v>
      </c>
      <c r="W1" s="54" t="s">
        <v>113</v>
      </c>
      <c r="X1" s="54" t="s">
        <v>114</v>
      </c>
      <c r="Y1" s="54" t="s">
        <v>115</v>
      </c>
      <c r="Z1" s="54" t="s">
        <v>116</v>
      </c>
      <c r="AA1" s="54" t="s">
        <v>117</v>
      </c>
      <c r="AB1" s="54" t="s">
        <v>118</v>
      </c>
      <c r="AC1" s="54" t="s">
        <v>119</v>
      </c>
      <c r="AD1" s="54" t="s">
        <v>120</v>
      </c>
      <c r="AE1" s="54" t="s">
        <v>121</v>
      </c>
      <c r="AF1" s="54" t="s">
        <v>122</v>
      </c>
      <c r="AG1" s="54" t="s">
        <v>123</v>
      </c>
      <c r="AH1" s="54" t="s">
        <v>124</v>
      </c>
      <c r="AI1" s="54" t="s">
        <v>125</v>
      </c>
      <c r="AJ1" s="54" t="s">
        <v>126</v>
      </c>
      <c r="AK1" s="54" t="s">
        <v>127</v>
      </c>
      <c r="AL1" s="54" t="s">
        <v>128</v>
      </c>
      <c r="AM1" s="54" t="s">
        <v>129</v>
      </c>
      <c r="AN1" s="54" t="s">
        <v>130</v>
      </c>
      <c r="AO1" s="54" t="s">
        <v>131</v>
      </c>
      <c r="AP1" s="54" t="s">
        <v>132</v>
      </c>
      <c r="AQ1" s="54" t="s">
        <v>133</v>
      </c>
      <c r="AR1" s="54" t="s">
        <v>134</v>
      </c>
      <c r="AS1" s="54" t="s">
        <v>135</v>
      </c>
      <c r="AT1" s="54" t="s">
        <v>136</v>
      </c>
      <c r="AU1" s="54" t="s">
        <v>137</v>
      </c>
      <c r="AV1" s="54" t="s">
        <v>138</v>
      </c>
      <c r="AW1" s="54" t="s">
        <v>139</v>
      </c>
      <c r="AX1" s="54" t="s">
        <v>140</v>
      </c>
      <c r="AY1" s="54" t="s">
        <v>141</v>
      </c>
      <c r="AZ1" s="54" t="s">
        <v>142</v>
      </c>
      <c r="BA1" s="54" t="s">
        <v>143</v>
      </c>
      <c r="BB1" s="54" t="s">
        <v>144</v>
      </c>
      <c r="BC1" s="54" t="s">
        <v>145</v>
      </c>
      <c r="BD1" s="54" t="s">
        <v>146</v>
      </c>
      <c r="BE1" s="54" t="s">
        <v>147</v>
      </c>
      <c r="BF1" s="54" t="s">
        <v>148</v>
      </c>
      <c r="BG1" s="54" t="s">
        <v>149</v>
      </c>
      <c r="BH1" s="54" t="s">
        <v>150</v>
      </c>
      <c r="BI1" s="54" t="s">
        <v>151</v>
      </c>
      <c r="BJ1" s="54" t="s">
        <v>152</v>
      </c>
      <c r="BK1" s="54" t="s">
        <v>153</v>
      </c>
      <c r="BL1" s="54" t="s">
        <v>154</v>
      </c>
      <c r="BM1" s="54" t="s">
        <v>155</v>
      </c>
      <c r="BN1" s="54" t="s">
        <v>156</v>
      </c>
      <c r="BO1" s="54" t="s">
        <v>157</v>
      </c>
      <c r="BP1" s="54" t="s">
        <v>158</v>
      </c>
      <c r="BQ1" s="54" t="s">
        <v>159</v>
      </c>
      <c r="BR1" s="54" t="s">
        <v>160</v>
      </c>
      <c r="BS1" s="54" t="s">
        <v>161</v>
      </c>
      <c r="BT1" s="54" t="s">
        <v>162</v>
      </c>
      <c r="BU1" s="54" t="s">
        <v>163</v>
      </c>
      <c r="BV1" s="54" t="s">
        <v>164</v>
      </c>
      <c r="BW1" s="54" t="s">
        <v>165</v>
      </c>
      <c r="BX1" s="54" t="s">
        <v>166</v>
      </c>
      <c r="BY1" s="54" t="s">
        <v>167</v>
      </c>
      <c r="BZ1" s="54" t="s">
        <v>168</v>
      </c>
      <c r="CA1" s="54" t="s">
        <v>169</v>
      </c>
      <c r="CB1" s="54" t="s">
        <v>170</v>
      </c>
      <c r="CC1" s="54" t="s">
        <v>171</v>
      </c>
      <c r="CD1" s="54" t="s">
        <v>172</v>
      </c>
      <c r="CE1" s="54" t="s">
        <v>173</v>
      </c>
      <c r="CF1" s="54" t="s">
        <v>174</v>
      </c>
      <c r="CG1" s="54" t="s">
        <v>175</v>
      </c>
      <c r="CH1" s="54" t="s">
        <v>176</v>
      </c>
      <c r="CI1" s="54" t="s">
        <v>177</v>
      </c>
      <c r="CJ1" s="54" t="s">
        <v>178</v>
      </c>
      <c r="CK1" s="54" t="s">
        <v>179</v>
      </c>
      <c r="CL1" s="54" t="s">
        <v>180</v>
      </c>
      <c r="CM1" s="54" t="s">
        <v>181</v>
      </c>
      <c r="CN1" s="54" t="s">
        <v>182</v>
      </c>
      <c r="CO1" s="54" t="s">
        <v>183</v>
      </c>
      <c r="CP1" s="54" t="s">
        <v>184</v>
      </c>
      <c r="CQ1" s="54" t="s">
        <v>185</v>
      </c>
      <c r="CR1" s="54" t="s">
        <v>186</v>
      </c>
      <c r="CS1" s="54" t="s">
        <v>187</v>
      </c>
      <c r="CT1" s="54" t="s">
        <v>188</v>
      </c>
      <c r="CU1" s="54" t="s">
        <v>189</v>
      </c>
      <c r="CV1" s="54" t="s">
        <v>190</v>
      </c>
      <c r="CW1" s="54" t="s">
        <v>191</v>
      </c>
      <c r="CX1" s="54" t="s">
        <v>192</v>
      </c>
      <c r="CY1" s="54" t="s">
        <v>193</v>
      </c>
      <c r="CZ1" s="54" t="s">
        <v>194</v>
      </c>
      <c r="DA1" s="54" t="s">
        <v>195</v>
      </c>
      <c r="DB1" s="54" t="s">
        <v>196</v>
      </c>
      <c r="DC1" s="54" t="s">
        <v>197</v>
      </c>
      <c r="DD1" s="54" t="s">
        <v>198</v>
      </c>
      <c r="DE1" s="54" t="s">
        <v>199</v>
      </c>
      <c r="DF1" s="54" t="s">
        <v>200</v>
      </c>
      <c r="DG1" s="54" t="s">
        <v>201</v>
      </c>
      <c r="DH1" s="54" t="s">
        <v>202</v>
      </c>
      <c r="DI1" s="54" t="s">
        <v>203</v>
      </c>
      <c r="DJ1" s="54" t="s">
        <v>204</v>
      </c>
      <c r="DK1" s="54" t="s">
        <v>205</v>
      </c>
      <c r="DL1" s="54" t="s">
        <v>206</v>
      </c>
      <c r="DM1" s="54" t="s">
        <v>207</v>
      </c>
      <c r="DN1" s="54" t="s">
        <v>208</v>
      </c>
      <c r="DO1" s="54" t="s">
        <v>209</v>
      </c>
      <c r="DP1" s="54" t="s">
        <v>210</v>
      </c>
      <c r="DQ1" s="54" t="s">
        <v>211</v>
      </c>
      <c r="DR1" s="54" t="s">
        <v>212</v>
      </c>
      <c r="DS1" s="54" t="s">
        <v>213</v>
      </c>
      <c r="DT1" s="54" t="s">
        <v>214</v>
      </c>
      <c r="DU1" s="54" t="s">
        <v>215</v>
      </c>
      <c r="DV1" s="54" t="s">
        <v>216</v>
      </c>
      <c r="DW1" s="54" t="s">
        <v>217</v>
      </c>
      <c r="DX1" s="54" t="s">
        <v>218</v>
      </c>
      <c r="DY1" s="54" t="s">
        <v>219</v>
      </c>
      <c r="DZ1" s="54" t="s">
        <v>220</v>
      </c>
      <c r="EA1" s="54" t="s">
        <v>221</v>
      </c>
      <c r="EB1" s="54" t="s">
        <v>222</v>
      </c>
      <c r="EC1" s="54" t="s">
        <v>223</v>
      </c>
      <c r="ED1" s="54" t="s">
        <v>224</v>
      </c>
      <c r="EE1" s="54" t="s">
        <v>225</v>
      </c>
      <c r="EF1" s="54" t="s">
        <v>226</v>
      </c>
      <c r="EG1" s="54" t="s">
        <v>227</v>
      </c>
      <c r="EH1" s="54" t="s">
        <v>228</v>
      </c>
      <c r="EI1" s="54" t="s">
        <v>229</v>
      </c>
      <c r="EJ1" s="54" t="s">
        <v>230</v>
      </c>
      <c r="EK1" s="54" t="s">
        <v>231</v>
      </c>
      <c r="EL1" s="54" t="s">
        <v>232</v>
      </c>
      <c r="EM1" s="54" t="s">
        <v>233</v>
      </c>
      <c r="EN1" s="54" t="s">
        <v>234</v>
      </c>
      <c r="EO1" s="54" t="s">
        <v>235</v>
      </c>
      <c r="EP1" s="54" t="s">
        <v>236</v>
      </c>
      <c r="EQ1" s="54" t="s">
        <v>237</v>
      </c>
      <c r="ER1" s="54" t="s">
        <v>238</v>
      </c>
      <c r="ES1" s="54" t="s">
        <v>239</v>
      </c>
      <c r="ET1" s="54" t="s">
        <v>240</v>
      </c>
      <c r="EU1" s="54" t="s">
        <v>241</v>
      </c>
      <c r="EV1" s="54" t="s">
        <v>242</v>
      </c>
      <c r="EW1" s="54" t="s">
        <v>243</v>
      </c>
      <c r="EX1" s="54" t="s">
        <v>244</v>
      </c>
      <c r="EY1" s="54" t="s">
        <v>245</v>
      </c>
      <c r="EZ1" s="54" t="s">
        <v>246</v>
      </c>
      <c r="FA1" s="54" t="s">
        <v>248</v>
      </c>
      <c r="FB1" s="54" t="s">
        <v>249</v>
      </c>
      <c r="FC1" s="54" t="s">
        <v>250</v>
      </c>
      <c r="FD1" s="54" t="s">
        <v>251</v>
      </c>
      <c r="FE1" s="54" t="s">
        <v>252</v>
      </c>
      <c r="FF1" s="54" t="s">
        <v>253</v>
      </c>
      <c r="FG1" s="54" t="s">
        <v>254</v>
      </c>
      <c r="FH1" s="54" t="s">
        <v>255</v>
      </c>
      <c r="FI1" s="54" t="s">
        <v>256</v>
      </c>
      <c r="FJ1" s="54" t="s">
        <v>257</v>
      </c>
      <c r="FK1" s="54" t="s">
        <v>258</v>
      </c>
      <c r="FL1" s="54" t="s">
        <v>259</v>
      </c>
      <c r="FM1" s="54" t="s">
        <v>260</v>
      </c>
      <c r="FN1" s="54" t="s">
        <v>261</v>
      </c>
      <c r="FO1" s="54" t="s">
        <v>262</v>
      </c>
      <c r="FP1" s="54" t="s">
        <v>263</v>
      </c>
      <c r="FQ1" s="54" t="s">
        <v>264</v>
      </c>
      <c r="FR1" s="54" t="s">
        <v>265</v>
      </c>
      <c r="FS1" s="54" t="s">
        <v>266</v>
      </c>
      <c r="FT1" s="54" t="s">
        <v>267</v>
      </c>
      <c r="FU1" s="54" t="s">
        <v>268</v>
      </c>
      <c r="FV1" s="54" t="s">
        <v>269</v>
      </c>
      <c r="FW1" s="54" t="s">
        <v>270</v>
      </c>
      <c r="FX1" s="54" t="s">
        <v>271</v>
      </c>
      <c r="FY1" s="54" t="s">
        <v>272</v>
      </c>
      <c r="FZ1" s="54" t="s">
        <v>273</v>
      </c>
      <c r="GA1" s="54" t="s">
        <v>274</v>
      </c>
      <c r="GB1" s="54" t="s">
        <v>275</v>
      </c>
      <c r="GC1" s="54" t="s">
        <v>276</v>
      </c>
      <c r="GD1" s="54" t="s">
        <v>277</v>
      </c>
      <c r="GE1" s="54" t="s">
        <v>278</v>
      </c>
      <c r="GF1" s="54" t="s">
        <v>279</v>
      </c>
      <c r="GG1" s="54" t="s">
        <v>280</v>
      </c>
      <c r="GH1" s="54" t="s">
        <v>281</v>
      </c>
      <c r="GI1" s="54" t="s">
        <v>282</v>
      </c>
      <c r="GJ1" s="54" t="s">
        <v>283</v>
      </c>
      <c r="GK1" s="54" t="s">
        <v>284</v>
      </c>
      <c r="GL1" s="54" t="s">
        <v>285</v>
      </c>
      <c r="GM1" s="54" t="s">
        <v>286</v>
      </c>
      <c r="GN1" s="54" t="s">
        <v>287</v>
      </c>
      <c r="GO1" s="54" t="s">
        <v>288</v>
      </c>
      <c r="GP1" s="54" t="s">
        <v>289</v>
      </c>
      <c r="GQ1" s="54" t="s">
        <v>290</v>
      </c>
      <c r="GR1" s="54" t="s">
        <v>291</v>
      </c>
      <c r="GS1" s="54" t="s">
        <v>292</v>
      </c>
      <c r="GT1" s="54" t="s">
        <v>293</v>
      </c>
      <c r="GU1" s="54" t="s">
        <v>294</v>
      </c>
      <c r="GV1" s="54" t="s">
        <v>295</v>
      </c>
      <c r="GW1" s="54" t="s">
        <v>296</v>
      </c>
      <c r="GX1" s="54" t="s">
        <v>297</v>
      </c>
      <c r="GY1" s="54" t="s">
        <v>298</v>
      </c>
      <c r="GZ1" s="54" t="s">
        <v>299</v>
      </c>
      <c r="HA1" s="54" t="s">
        <v>300</v>
      </c>
      <c r="HB1" s="54" t="s">
        <v>301</v>
      </c>
      <c r="HC1" s="54" t="s">
        <v>302</v>
      </c>
      <c r="HD1" s="54" t="s">
        <v>303</v>
      </c>
      <c r="HE1" s="54" t="s">
        <v>304</v>
      </c>
      <c r="HF1" s="54" t="s">
        <v>305</v>
      </c>
      <c r="HG1" s="54" t="s">
        <v>306</v>
      </c>
      <c r="HH1" s="54" t="s">
        <v>307</v>
      </c>
      <c r="HI1" s="54" t="s">
        <v>308</v>
      </c>
      <c r="HJ1" s="54" t="s">
        <v>309</v>
      </c>
      <c r="HK1" s="54" t="s">
        <v>310</v>
      </c>
      <c r="HL1" s="54" t="s">
        <v>311</v>
      </c>
      <c r="HM1" s="54" t="s">
        <v>312</v>
      </c>
      <c r="HN1" s="54" t="s">
        <v>313</v>
      </c>
      <c r="HO1" s="54" t="s">
        <v>314</v>
      </c>
      <c r="HP1" s="54" t="s">
        <v>315</v>
      </c>
      <c r="HQ1" s="54" t="s">
        <v>316</v>
      </c>
      <c r="HR1" s="54" t="s">
        <v>317</v>
      </c>
      <c r="HS1" s="54" t="s">
        <v>318</v>
      </c>
      <c r="HT1" s="54" t="s">
        <v>319</v>
      </c>
      <c r="HU1" s="54" t="s">
        <v>320</v>
      </c>
      <c r="HV1" s="54" t="s">
        <v>321</v>
      </c>
      <c r="HW1" s="54" t="s">
        <v>322</v>
      </c>
      <c r="HX1" s="54" t="s">
        <v>323</v>
      </c>
    </row>
    <row r="2" spans="1:232" ht="51.75" customHeight="1" hidden="1" thickBot="1">
      <c r="A2" s="55"/>
      <c r="B2" s="56"/>
      <c r="C2" s="56"/>
      <c r="D2" s="31"/>
      <c r="E2" s="57" t="e">
        <f>IF(ISBLANK(PlFemelRus),"",PlFemelRus)</f>
        <v>#REF!</v>
      </c>
      <c r="F2" s="31" t="e">
        <f>IF(ISBLANK(PlNameRus),"",PlNameRus)</f>
        <v>#REF!</v>
      </c>
      <c r="G2" s="58" t="e">
        <f>IF(ISBLANK(PlOtchestvoRus),"",PlOtchestvoRus)</f>
        <v>#REF!</v>
      </c>
      <c r="H2" s="58" t="str">
        <f>IF(ISBLANK(PlFamelEngl),"",PlFamelEngl)</f>
        <v>Anufriev</v>
      </c>
      <c r="I2" s="31" t="str">
        <f>IF(ISBLANK(PlNameEngl),"",PlNameEngl)</f>
        <v>Artyom</v>
      </c>
      <c r="J2" s="31" t="str">
        <f>IF(ISBLANK(PlRank1),"",PlRank1)</f>
        <v>2nd Engineer, 3rd Engineer, Single engineer</v>
      </c>
      <c r="K2" s="31" t="str">
        <f>IF(ISBLANK(PlRank1),"",PlRank1)</f>
        <v>2nd Engineer, 3rd Engineer, Single engineer</v>
      </c>
      <c r="L2" s="31" t="str">
        <f>IF(ISBLANK(PlPaspSeria),"",PlPaspSeria)</f>
        <v>RUS</v>
      </c>
      <c r="M2" s="31">
        <f>IF(ISBLANK(PlPaspNum),"",PlPaspNum)</f>
        <v>143344</v>
      </c>
      <c r="N2" s="75">
        <f>IF(ISBLANK(PlSeamPaspDate),"",PlSeamPaspDate)</f>
        <v>40696</v>
      </c>
      <c r="O2" s="75">
        <f>IF(ISBLANK(PlSeamPaspExparyDate),"",PlSeamPaspExparyDate)</f>
        <v>42522</v>
      </c>
      <c r="P2" s="75">
        <f>IF(ISBLANK(Pldob),"",Pldob)</f>
        <v>30341</v>
      </c>
      <c r="Q2" s="31" t="str">
        <f>IF(ISBLANK(PlpobEngl),"",PlpobEngl)</f>
        <v>Arkhangelsk, Russia</v>
      </c>
      <c r="R2" s="31" t="s">
        <v>388</v>
      </c>
      <c r="S2" s="30"/>
      <c r="T2" s="30"/>
      <c r="U2" s="31" t="e">
        <f>IF(ISBLANK(PlNotes1),"",PlNotes1)</f>
        <v>#REF!</v>
      </c>
      <c r="V2" s="31" t="e">
        <f>IF(ISBLANK(#REF!),"",#REF!)</f>
        <v>#REF!</v>
      </c>
      <c r="W2" s="31" t="e">
        <f>IF(ISBLANK(#REF!),"",#REF!)</f>
        <v>#REF!</v>
      </c>
      <c r="X2" s="31" t="e">
        <f>IF(ISBLANK(#REF!),"",#REF!)</f>
        <v>#REF!</v>
      </c>
      <c r="Y2" s="31" t="e">
        <f>IF(ISBLANK(#REF!),"",#REF!)</f>
        <v>#REF!</v>
      </c>
      <c r="Z2" s="31" t="e">
        <f>IF(ISBLANK(#REF!),"",#REF!)</f>
        <v>#REF!</v>
      </c>
      <c r="AA2" s="30" t="s">
        <v>324</v>
      </c>
      <c r="AB2" s="31" t="e">
        <f>IF(ISBLANK(#REF!),"",CONCATENATE(#REF!,V24,#REF!))</f>
        <v>#REF!</v>
      </c>
      <c r="AC2" s="31" t="e">
        <f>IF(ISBLANK(#REF!),"",#REF!)</f>
        <v>#REF!</v>
      </c>
      <c r="AD2" s="76">
        <f>IF(ISBLANK(PlGrPasExpiryDate),"",PlGrPasExpiryDate)</f>
      </c>
      <c r="AE2" s="31" t="str">
        <f>IF(ISBLANK(PlGrPasPlaceIisue),"",CONCATENATE(PlGrPasPlaceIisue,V24,M38))</f>
        <v>Arkhangelsk, Arkhangelsk</v>
      </c>
      <c r="AF2" s="31" t="str">
        <f>IF(ISBLANK(PlNameEngl),"",PlNameEngl)</f>
        <v>Artyom</v>
      </c>
      <c r="AG2" s="31" t="str">
        <f>IF(ISBLANK(PlFamelEngl),"",PlFamelEngl)</f>
        <v>Anufriev</v>
      </c>
      <c r="AH2" s="31" t="e">
        <f>IF(ISBLANK(PlpobRus),"",PlpobRus)</f>
        <v>#REF!</v>
      </c>
      <c r="AI2" s="31" t="str">
        <f>IF(ISBLANK(PlpobEngl),"",PlpobEngl)</f>
        <v>Arkhangelsk, Russia</v>
      </c>
      <c r="AJ2" s="31">
        <f>IF(ISBLANK(PlIntPasSeria),"",PlIntPasSeria)</f>
        <v>71</v>
      </c>
      <c r="AK2" s="31">
        <f>IF(ISBLANK(PlIntPasNum),"",PlIntPasNum)</f>
        <v>2609437</v>
      </c>
      <c r="AL2" s="75">
        <f>IF(ISBLANK(PlIntPasDate),"",PlIntPasDate)</f>
        <v>40512</v>
      </c>
      <c r="AM2" s="75">
        <f>IF(ISBLANK(PlIntPasExpiryDate),"",PlIntPasExpiryDate)</f>
        <v>44165</v>
      </c>
      <c r="AN2" s="31" t="str">
        <f>IF(ISBLANK(PlIntPasPlaceIisue),"",CONCATENATE(PlIntPasPlaceIisue,V24,M39))</f>
        <v>Arkhangelsk, Arkhangelsk</v>
      </c>
      <c r="AO2" s="31" t="str">
        <f>IF(ISBLANK(PlSex),"",PlSex)</f>
        <v>Male</v>
      </c>
      <c r="AP2" s="31" t="e">
        <f>IF(ISBLANK(#REF!),"",CONCATENATE(#REF!,V24,#REF!,V24,#REF!,V24,#REF!))</f>
        <v>#REF!</v>
      </c>
      <c r="AQ2" s="31" t="str">
        <f>IF(ISBLANK(PlNationality),"",PlNationality)</f>
        <v>Russia</v>
      </c>
      <c r="AR2" s="31">
        <f>IF(ISBLANK(PlEnglTestPst),"",PlEnglTestPst)</f>
      </c>
      <c r="AS2" s="31" t="e">
        <f>IF(ISBLANK(#REF!),"",#REF!)</f>
        <v>#REF!</v>
      </c>
      <c r="AT2" s="31" t="e">
        <f>IF(ISBLANK(#REF!),"",#REF!)</f>
        <v>#REF!</v>
      </c>
      <c r="AU2" s="31" t="e">
        <f>IF(ISBLANK(#REF!),"",#REF!)</f>
        <v>#REF!</v>
      </c>
      <c r="AV2" s="31" t="e">
        <f>IF(ISBLANK(#REF!),"",#REF!)</f>
        <v>#REF!</v>
      </c>
      <c r="AW2" s="31" t="e">
        <f>IF(ISBLANK(#REF!),"",#REF!)</f>
        <v>#REF!</v>
      </c>
      <c r="AX2" s="31"/>
      <c r="AY2" s="31" t="e">
        <f>IF(ISBLANK(#REF!),"",CONCATENATE(#REF!,V24,#REF!))</f>
        <v>#REF!</v>
      </c>
      <c r="AZ2" s="75" t="e">
        <f>IF(ISBLANK(#REF!),"",#REF!)</f>
        <v>#REF!</v>
      </c>
      <c r="BA2" s="31" t="e">
        <f>IF(ISBLANK(#REF!),"",#REF!)</f>
        <v>#REF!</v>
      </c>
      <c r="BB2" s="31" t="e">
        <f>IF(ISBLANK(#REF!),"",#REF!)</f>
        <v>#REF!</v>
      </c>
      <c r="BC2" s="31" t="e">
        <f>IF(ISBLANK(#REF!),"",#REF!)</f>
        <v>#REF!</v>
      </c>
      <c r="BD2" s="31" t="e">
        <f>IF(ISBLANK(#REF!),"",#REF!)</f>
        <v>#REF!</v>
      </c>
      <c r="BE2" s="31" t="e">
        <f>IF(ISBLANK(#REF!),"",#REF!)</f>
        <v>#REF!</v>
      </c>
      <c r="BF2" s="30" t="s">
        <v>324</v>
      </c>
      <c r="BG2" s="31" t="e">
        <f>IF(ISBLANK(#REF!),"",CONCATENATE(#REF!,V24,#REF!))</f>
        <v>#REF!</v>
      </c>
      <c r="BH2" s="30" t="e">
        <f>IF(ISBLANK(#REF!),"",#REF!)</f>
        <v>#REF!</v>
      </c>
      <c r="BI2" s="75" t="e">
        <f>IF(ISBLANK(#REF!),"",#REF!)</f>
        <v>#REF!</v>
      </c>
      <c r="BJ2" s="75" t="e">
        <f>IF(ISBLANK(#REF!),"",#REF!)</f>
        <v>#REF!</v>
      </c>
      <c r="BK2" s="31" t="e">
        <f>IF(ISBLANK(#REF!),"",#REF!)</f>
        <v>#REF!</v>
      </c>
      <c r="BL2" s="31" t="e">
        <f>IF(ISBLANK(#REF!),"",#REF!)</f>
        <v>#REF!</v>
      </c>
      <c r="BM2" s="31" t="e">
        <f>IF(ISBLANK(#REF!),"",#REF!)</f>
        <v>#REF!</v>
      </c>
      <c r="BN2" s="31" t="e">
        <f>IF(ISBLANK(#REF!),"",#REF!)</f>
        <v>#REF!</v>
      </c>
      <c r="BO2" s="31" t="e">
        <f>IF(ISBLANK(#REF!),"",#REF!)</f>
        <v>#REF!</v>
      </c>
      <c r="BP2" s="31" t="e">
        <f>IF(ISBLANK(#REF!),"",#REF!)</f>
        <v>#REF!</v>
      </c>
      <c r="BQ2" s="31" t="e">
        <f>IF(ISBLANK(#REF!),"",#REF!)</f>
        <v>#REF!</v>
      </c>
      <c r="BR2" s="30" t="s">
        <v>324</v>
      </c>
      <c r="BS2" s="31" t="e">
        <f>IF(ISBLANK(#REF!),"",CONCATENATE(#REF!,V24,#REF!))</f>
        <v>#REF!</v>
      </c>
      <c r="BT2" s="75" t="e">
        <f>IF(ISBLANK(#REF!),"",#REF!)</f>
        <v>#REF!</v>
      </c>
      <c r="BU2" s="75" t="e">
        <f>IF(ISBLANK(#REF!),"",#REF!)</f>
        <v>#REF!</v>
      </c>
      <c r="BV2" s="31" t="e">
        <f>IF(ISBLANK(#REF!),"",#REF!)</f>
        <v>#REF!</v>
      </c>
      <c r="BW2" s="31" t="e">
        <f>IF(ISBLANK(#REF!),"",#REF!)</f>
        <v>#REF!</v>
      </c>
      <c r="BX2" s="31" t="e">
        <f>IF(ISBLANK(#REF!),"",#REF!)</f>
        <v>#REF!</v>
      </c>
      <c r="BY2" s="31" t="e">
        <f>IF(ISBLANK(#REF!),"",#REF!)</f>
        <v>#REF!</v>
      </c>
      <c r="BZ2" s="31" t="e">
        <f>IF(ISBLANK(#REF!),"",#REF!)</f>
        <v>#REF!</v>
      </c>
      <c r="CA2" s="31" t="e">
        <f>IF(ISBLANK(#REF!),"",#REF!)</f>
        <v>#REF!</v>
      </c>
      <c r="CB2" s="31" t="e">
        <f>IF(ISBLANK(#REF!),"",#REF!)</f>
        <v>#REF!</v>
      </c>
      <c r="CC2" s="30" t="s">
        <v>324</v>
      </c>
      <c r="CD2" s="31" t="e">
        <f>IF(ISBLANK(#REF!),"",CONCATENATE(#REF!,V24,#REF!))</f>
        <v>#REF!</v>
      </c>
      <c r="CE2" s="31" t="s">
        <v>389</v>
      </c>
      <c r="CF2" s="31"/>
      <c r="CG2" s="31" t="e">
        <f>IF(ISBLANK(PlEducation),"",CONCATENATE(PlEducation,V24,PlEducation_2))</f>
        <v>#REF!</v>
      </c>
      <c r="CH2" s="31" t="str">
        <f>IF(ISBLANK(PlDiplomType),"",PlDiplomType)</f>
        <v>2nd CLASS ENGINEER cat.A</v>
      </c>
      <c r="CI2" s="30"/>
      <c r="CJ2" s="31">
        <f>IF(ISBLANK(PlCertOfCompNum),"",PlCertOfCompNum)</f>
        <v>1021304101</v>
      </c>
      <c r="CK2" s="31" t="str">
        <f>IF(ISBLANK(PlDiplomIssuedBy),"",PlDiplomIssuedBy)</f>
        <v>Arkhangelsk</v>
      </c>
      <c r="CL2" s="75">
        <f>IF(ISBLANK(PlCertOfCompIsuedDate),"",PlCertOfCompIsuedDate)</f>
        <v>40311</v>
      </c>
      <c r="CM2" s="75">
        <f>IF(ISBLANK(PlCertOfCompAt),"",PlCertOfCompAt)</f>
        <v>42124</v>
      </c>
      <c r="CN2" s="31" t="str">
        <f>IF(ISBLANK(G47),"",G47)</f>
        <v>2 Eng./OOW Eng. 3,4,5,6"M"</v>
      </c>
      <c r="CO2" s="31">
        <f>IF(ISBLANK(PlEndorsmentNum),"None",PlEndorsmentNum)</f>
        <v>1021304101</v>
      </c>
      <c r="CP2" s="75">
        <f>IF(ISBLANK(J47),"",J47)</f>
        <v>40311</v>
      </c>
      <c r="CQ2" s="30" t="str">
        <f>IF(ISBLANK(K47),"",K47)</f>
        <v>Arkhangelsk</v>
      </c>
      <c r="CR2" s="75">
        <f>IF(ISBLANK(PlEndorsmentAt),"",PlEndorsmentAt)</f>
        <v>42124</v>
      </c>
      <c r="CS2" s="31" t="e">
        <f>IF(ISBLANK(#REF!),"",#REF!)</f>
        <v>#REF!</v>
      </c>
      <c r="CT2" s="31" t="e">
        <f>IF(ISBLANK(#REF!),"None",#REF!)</f>
        <v>#REF!</v>
      </c>
      <c r="CU2" s="76" t="e">
        <f>IF(ISBLANK(#REF!),"",#REF!)</f>
        <v>#REF!</v>
      </c>
      <c r="CV2" s="31" t="e">
        <f>IF(ISBLANK(#REF!),"",#REF!)</f>
        <v>#REF!</v>
      </c>
      <c r="CW2" s="75" t="e">
        <f>IF(ISBLANK(#REF!),"",#REF!)</f>
        <v>#REF!</v>
      </c>
      <c r="CX2" s="31" t="e">
        <f>IF(ISBLANK(#REF!),"",#REF!)</f>
        <v>#REF!</v>
      </c>
      <c r="CY2" s="31" t="e">
        <f>IF(ISBLANK(#REF!),"None",#REF!)</f>
        <v>#REF!</v>
      </c>
      <c r="CZ2" s="76" t="e">
        <f>IF(ISBLANK(#REF!),"",#REF!)</f>
        <v>#REF!</v>
      </c>
      <c r="DA2" s="31" t="e">
        <f>IF(ISBLANK(#REF!),"",#REF!)</f>
        <v>#REF!</v>
      </c>
      <c r="DB2" s="75" t="e">
        <f>IF(ISBLANK(#REF!),"",#REF!)</f>
        <v>#REF!</v>
      </c>
      <c r="DC2" s="30"/>
      <c r="DD2" s="31" t="e">
        <f>IF(ISBLANK(PlRadarNum),"None",PlRadarNum)</f>
        <v>#REF!</v>
      </c>
      <c r="DE2" s="75" t="e">
        <f>IF(ISBLANK(PlRadarDateIssued),"",PlRadarDateIssued)</f>
        <v>#REF!</v>
      </c>
      <c r="DF2" s="31" t="e">
        <f>IF(ISBLANK(#REF!),"",#REF!)</f>
        <v>#REF!</v>
      </c>
      <c r="DG2" s="30"/>
      <c r="DH2" s="31" t="e">
        <f>IF(ISBLANK(PlSarpNum),"None",PlSarpNum)</f>
        <v>#REF!</v>
      </c>
      <c r="DI2" s="75" t="e">
        <f>IF(ISBLANK(PlSarpDateIssued),"",PlSarpDateIssued)</f>
        <v>#REF!</v>
      </c>
      <c r="DJ2" s="31" t="e">
        <f>IF(ISBLANK(#REF!),"",#REF!)</f>
        <v>#REF!</v>
      </c>
      <c r="DK2" s="31"/>
      <c r="DL2" s="31" t="e">
        <f>IF(ISBLANK(PlHAZMATNumber),"None",CONCATENATE(PlHAZMATNumber,#REF!,PlHazmatUSA1Number))</f>
        <v>#REF!</v>
      </c>
      <c r="DM2" s="75">
        <f>IF(ISBLANK(PlHAZMATDataIssued),"",PlHAZMATDataIssued)</f>
        <v>40298</v>
      </c>
      <c r="DN2" s="30"/>
      <c r="DO2" s="31" t="e">
        <f>IF(ISBLANK(PlDiplom2Num),"None",PlDiplom2Num)</f>
        <v>#REF!</v>
      </c>
      <c r="DP2" s="31" t="e">
        <f>IF(ISBLANK(PlDiplom2Type),"",PlDiplom2Type)</f>
        <v>#REF!</v>
      </c>
      <c r="DQ2" s="31" t="e">
        <f>IF(ISBLANK(#REF!),"",#REF!)</f>
        <v>#REF!</v>
      </c>
      <c r="DR2" s="75" t="e">
        <f>IF(ISBLANK(#REF!),"",#REF!)</f>
        <v>#REF!</v>
      </c>
      <c r="DS2" s="75" t="e">
        <f>IF(ISBLANK(PlDiplom2At),"",PlDiplom2At)</f>
        <v>#REF!</v>
      </c>
      <c r="DT2" s="31">
        <f>IF(ISBLANK(PlFireFightLifesaivRescueNum),"None",PlFireFightLifesaivRescueNum)</f>
        <v>249624</v>
      </c>
      <c r="DU2" s="75">
        <f>IF(ISBLANK(PlFireFightLifesaivRescueDateIssued),"",PlFireFightLifesaivRescueDateIssued)</f>
        <v>40298</v>
      </c>
      <c r="DV2" s="31" t="e">
        <f>IF(ISBLANK(PlSert115Number),"None",PlSert115Number)</f>
        <v>#REF!</v>
      </c>
      <c r="DW2" s="75" t="e">
        <f>IF(ISBLANK(PlSert115DateIssued),"",PlSert115DateIssued)</f>
        <v>#REF!</v>
      </c>
      <c r="DX2" s="31" t="e">
        <f>IF(ISBLANK(#REF!),"",#REF!)</f>
        <v>#REF!</v>
      </c>
      <c r="DY2" s="31" t="str">
        <f>IF(ISBLANK(H49),"",H49)</f>
        <v>Arkhangelsk, UTS "Kotlas";</v>
      </c>
      <c r="DZ2" s="31" t="e">
        <f>IF(ISBLANK(PlGenTankSafetNum101),"None",PlGenTankSafetNum101)</f>
        <v>#REF!</v>
      </c>
      <c r="EA2" s="75" t="e">
        <f>IF(ISBLANK(PlGenTank101DateIssued),"",PlGenTank101DateIssued)</f>
        <v>#REF!</v>
      </c>
      <c r="EB2" s="31" t="e">
        <f>IF(ISBLANK(#REF!),"",#REF!)</f>
        <v>#REF!</v>
      </c>
      <c r="EC2" s="31" t="e">
        <f>IF(ISBLANK(PlTankNum102),"None",PlTankNum102)</f>
        <v>#REF!</v>
      </c>
      <c r="ED2" s="75" t="e">
        <f>IF(ISBLANK(PlTank102DateIssued),"",PlTank102DateIssued)</f>
        <v>#REF!</v>
      </c>
      <c r="EE2" s="31" t="e">
        <f>IF(ISBLANK(PlCOWInertGasNum),"None",PlCOWInertGasNum)</f>
        <v>#REF!</v>
      </c>
      <c r="EF2" s="75" t="e">
        <f>IF(ISBLANK(PlCOWInertGasDateIssued),"",PlCOWInertGasDateIssued)</f>
        <v>#REF!</v>
      </c>
      <c r="EG2" s="31" t="e">
        <f>IF(ISBLANK(#REF!),"",#REF!)</f>
        <v>#REF!</v>
      </c>
      <c r="EH2" s="31" t="e">
        <f>IF(ISBLANK(PlChemTankAdvancedNum),"None",PlChemTankAdvancedNum)</f>
        <v>#REF!</v>
      </c>
      <c r="EI2" s="75" t="e">
        <f>IF(ISBLANK(PlChemTankAdvancedDateIssued),"",PlChemTankAdvancedDateIssued)</f>
        <v>#REF!</v>
      </c>
      <c r="EJ2" s="31" t="e">
        <f>IF(ISBLANK(#REF!),"",#REF!)</f>
        <v>#REF!</v>
      </c>
      <c r="EK2" s="31" t="e">
        <f>IF(ISBLANK(PlGasTankAdvancedNum),"None",PlGasTankAdvancedNum)</f>
        <v>#REF!</v>
      </c>
      <c r="EL2" s="75" t="e">
        <f>IF(ISBLANK(PlGasTankAdvancedDateIssued),"",PlGasTankAdvancedDateIssued)</f>
        <v>#REF!</v>
      </c>
      <c r="EM2" s="31" t="e">
        <f>IF(ISBLANK(#REF!),"",#REF!)</f>
        <v>#REF!</v>
      </c>
      <c r="EN2" s="31" t="s">
        <v>353</v>
      </c>
      <c r="EO2" s="75" t="s">
        <v>324</v>
      </c>
      <c r="EP2" s="30"/>
      <c r="EQ2" s="31" t="s">
        <v>353</v>
      </c>
      <c r="ER2" s="76" t="s">
        <v>324</v>
      </c>
      <c r="ES2" s="30"/>
      <c r="ET2" s="75">
        <f>IF(ISBLANK(PlMedSertDateIssued),"",PlMedSertDateIssued)</f>
      </c>
      <c r="EU2" s="30"/>
      <c r="EV2" s="31" t="e">
        <f>IF(ISBLANK(PlNotes2),"",PlNotes2)</f>
        <v>#REF!</v>
      </c>
      <c r="EW2" s="75"/>
      <c r="EX2" s="30"/>
      <c r="EY2" s="31" t="e">
        <f>CONCATENATE(#REF!,V24,#REF!,V24,#REF!,V26,#REF!,V24,#REF!,V24,#REF!)</f>
        <v>#REF!</v>
      </c>
      <c r="EZ2" s="30"/>
      <c r="FA2" s="31"/>
      <c r="FB2" s="31"/>
      <c r="FC2" s="31">
        <f>IF(ISBLANK(PlSert123Number),"None",PlSert123Number)</f>
        <v>204173</v>
      </c>
      <c r="FD2" s="75">
        <f>IF(ISBLANK(PlSert123DateIssued),"",PlSert123DateIssued)</f>
        <v>40298</v>
      </c>
      <c r="FE2" s="31" t="str">
        <f>IF(ISBLANK(H50),"",H50)</f>
        <v>Arkhangelsk, UTS "Kotlas";</v>
      </c>
      <c r="FF2" s="31">
        <f>IF(ISBLANK(PlSert203Number),"None",PlSert203Number)</f>
        <v>109283</v>
      </c>
      <c r="FG2" s="75">
        <f>IF(ISBLANK(PlSert203DateIssued),"",PlSert203DateIssued)</f>
        <v>40298</v>
      </c>
      <c r="FH2" s="31" t="str">
        <f>IF(ISBLANK(H51),"",H51)</f>
        <v>Arkhangelsk, UTS "Kotlas";</v>
      </c>
      <c r="FI2" s="31">
        <f>IF(ISBLANK(PlSert114Number),"None",PlSert114Number)</f>
        <v>124966</v>
      </c>
      <c r="FJ2" s="75">
        <f>IF(ISBLANK(PlSert114DateIssued),"",PlSert114DateIssued)</f>
        <v>40304</v>
      </c>
      <c r="FK2" s="31" t="str">
        <f>IF(ISBLANK(H52),"",H52)</f>
        <v>Arkhangelsk, UTS "Kotlas";</v>
      </c>
      <c r="FL2" s="31" t="e">
        <f>IF(ISBLANK(PlSert115Number),"None",PlSert115Number)</f>
        <v>#REF!</v>
      </c>
      <c r="FM2" s="75" t="e">
        <f>IF(ISBLANK(PlSert115DateIssued),"",PlSert115DateIssued)</f>
        <v>#REF!</v>
      </c>
      <c r="FN2" s="31">
        <f>IF(ISBLANK(PlMinWages),"",PlMinWages)</f>
        <v>3500</v>
      </c>
      <c r="FO2" s="31">
        <f>IF(ISBLANK(PlDesaredWages),"",PlDesaredWages)</f>
        <v>4200</v>
      </c>
      <c r="FP2" s="31" t="str">
        <f>IF(ISBLANK(PlMaritalStat),"",PlMaritalStat)</f>
        <v>Married</v>
      </c>
      <c r="FQ2" s="31" t="e">
        <f>IF(ISBLANK(#REF!),"",#REF!)</f>
        <v>#REF!</v>
      </c>
      <c r="FR2" s="31" t="str">
        <f>IF(ISBLANK(PlCitizenship),"",PlCitizenship)</f>
        <v>Russia</v>
      </c>
      <c r="FS2" s="31" t="str">
        <f>PladdressRegion&amp;"  "&amp;PlPostal_Code</f>
        <v>Russia  164902</v>
      </c>
      <c r="FT2" s="31" t="e">
        <f>PladdressStret&amp;"(проживан) , Прописка: "&amp;PlPropiskaSteet</f>
        <v>#REF!</v>
      </c>
      <c r="FU2" s="31" t="e">
        <f>CONCATENATE(Pltel2,V26,PlMobil_Tlf,V26,PlEmail,V26,#REF!)</f>
        <v>#REF!</v>
      </c>
      <c r="FV2" s="31" t="e">
        <f>CONCATENATE(PlEmail,#REF!)</f>
        <v>#REF!</v>
      </c>
      <c r="FW2" s="31" t="e">
        <f>IF(ISBLANK(Plthers),"",Plthers)</f>
        <v>#REF!</v>
      </c>
      <c r="FX2" s="31" t="str">
        <f>CONCATENATE(H36,V24,M36)</f>
        <v>Arkhangelsk, Arkhangelsk</v>
      </c>
      <c r="FY2" s="31" t="str">
        <f>CONCATENATE(H37,V24,PlFlagRegistrSeamBook,V24,M37)</f>
        <v>Arkhangelsk, Russia, Arkhangelsk</v>
      </c>
      <c r="FZ2" s="31" t="str">
        <f>IF(ISBLANK(PlSeamansBookSeria),"",PlSeamansBookSeria)</f>
        <v>MK</v>
      </c>
      <c r="GA2" s="31" t="str">
        <f>IF(ISBLANK(PlSeamansBookNumber),"",PlSeamansBookNumber)</f>
        <v>0054411</v>
      </c>
      <c r="GB2" s="75">
        <f>IF(ISBLANK(PlSeamBookDate),"",PlSeamBookDate)</f>
        <v>40744</v>
      </c>
      <c r="GC2" s="75">
        <f>IF(ISBLANK(PlSeamBookDateEXPARY),"",PlSeamBookDateEXPARY)</f>
      </c>
      <c r="GD2" s="31" t="str">
        <f>IF(ISBLANK(H37),"",H37)</f>
        <v>Arkhangelsk</v>
      </c>
      <c r="GE2" s="31" t="str">
        <f>IF(ISBLANK(PlGrPasSeria),"",PlGrPasSeria)</f>
        <v>11 04</v>
      </c>
      <c r="GF2" s="31">
        <f>IF(ISBLANK(PlGrPasNum),"",PlGrPasNum)</f>
        <v>278400</v>
      </c>
      <c r="GG2" s="75">
        <f>IF(ISBLANK(PlGrPasDate),"",PlGrPasDate)</f>
        <v>38315</v>
      </c>
      <c r="GH2" s="31" t="str">
        <f>IF(ISBLANK(PlHairs_color),"",PlHairs_color)</f>
        <v>Dark</v>
      </c>
      <c r="GI2" s="31" t="str">
        <f>IF(ISBLANK(PlEyes_color),"",PlEyes_color)</f>
        <v>grey</v>
      </c>
      <c r="GJ2" s="77">
        <f>IF(ISBLANK(PlHeight),"",PlHeight)</f>
        <v>1.85</v>
      </c>
      <c r="GK2" s="78">
        <f>IF(ISBLANK(PlWeight),"",PlWeight)</f>
        <v>95</v>
      </c>
      <c r="GL2" s="78">
        <f>IF(ISBLANK(E29),"",E29)</f>
        <v>43</v>
      </c>
      <c r="GM2" s="78">
        <f>IF(ISBLANK(PlHead_Size),"",PlHead_Size)</f>
        <v>58</v>
      </c>
      <c r="GN2" s="78">
        <f>IF(ISBLANK(PlClothes_Size),"",PlClothes_Size)</f>
        <v>56</v>
      </c>
      <c r="GO2" s="81" t="s">
        <v>485</v>
      </c>
      <c r="GP2" s="75" t="e">
        <f>IF(ISBLANK(PlUSAVisaDateValid),"",PlUSAVisaDateValid)</f>
        <v>#REF!</v>
      </c>
      <c r="GQ2" s="78" t="s">
        <v>486</v>
      </c>
      <c r="GR2" s="75" t="e">
        <f>IF(ISBLANK(PlSchengenVisaDateValid),"",PlSchengenVisaDateValid)</f>
        <v>#REF!</v>
      </c>
      <c r="GS2" s="31" t="e">
        <f>IF(ISBLANK(PlEndLiberiaNumber),"None",PlEndLiberiaNumber)</f>
        <v>#REF!</v>
      </c>
      <c r="GT2" s="75" t="e">
        <f>IF(ISBLANK(PlEndLiberiaDateIssued),"",PlEndLiberiaDateIssued)</f>
        <v>#REF!</v>
      </c>
      <c r="GU2" s="75" t="e">
        <f>IF(ISBLANK(#REF!),"",#REF!)</f>
        <v>#REF!</v>
      </c>
      <c r="GV2" s="31" t="e">
        <f>IF(ISBLANK(#REF!),"None",#REF!)</f>
        <v>#REF!</v>
      </c>
      <c r="GW2" s="75" t="e">
        <f>IF(ISBLANK(#REF!),"",#REF!)</f>
        <v>#REF!</v>
      </c>
      <c r="GX2" s="75" t="e">
        <f>IF(ISBLANK(Valid_Untill),"",Valid_Untill)</f>
        <v>#REF!</v>
      </c>
      <c r="GY2" s="31" t="e">
        <f>IF(ISBLANK(PlEndCyprusNumber),"None",PlEndCyprusNumber)</f>
        <v>#REF!</v>
      </c>
      <c r="GZ2" s="75" t="e">
        <f>IF(ISBLANK(PlEndCyprusDateIssued),"",PlEndCyprusDateIssued)</f>
        <v>#REF!</v>
      </c>
      <c r="HA2" s="75" t="e">
        <f>IF(ISBLANK(#REF!),"",#REF!)</f>
        <v>#REF!</v>
      </c>
      <c r="HB2" s="31" t="e">
        <f>IF(ISBLANK(#REF!),"None",#REF!)</f>
        <v>#REF!</v>
      </c>
      <c r="HC2" s="75" t="e">
        <f>IF(ISBLANK(#REF!),"",#REF!)</f>
        <v>#REF!</v>
      </c>
      <c r="HD2" s="75" t="e">
        <f>IF(ISBLANK(#REF!),"",#REF!)</f>
        <v>#REF!</v>
      </c>
      <c r="HE2" s="31" t="e">
        <f>IF(ISBLANK(#REF!),"None",#REF!)</f>
        <v>#REF!</v>
      </c>
      <c r="HF2" s="75" t="e">
        <f>IF(ISBLANK(#REF!),"",#REF!)</f>
        <v>#REF!</v>
      </c>
      <c r="HG2" s="75" t="e">
        <f>IF(ISBLANK(#REF!),"",#REF!)</f>
        <v>#REF!</v>
      </c>
      <c r="HH2" s="31" t="e">
        <f>IF(ISBLANK(#REF!),"None",#REF!)</f>
        <v>#REF!</v>
      </c>
      <c r="HI2" s="75" t="e">
        <f>IF(ISBLANK(#REF!),"",#REF!)</f>
        <v>#REF!</v>
      </c>
      <c r="HJ2" s="75" t="e">
        <f>IF(ISBLANK(#REF!),"",#REF!)</f>
        <v>#REF!</v>
      </c>
      <c r="HK2" s="31" t="e">
        <f>IF(ISBLANK(#REF!),"None",#REF!)</f>
        <v>#REF!</v>
      </c>
      <c r="HL2" s="76" t="e">
        <f>IF(ISBLANK(#REF!),"",#REF!)</f>
        <v>#REF!</v>
      </c>
      <c r="HM2" s="76" t="e">
        <f>IF(ISBLANK(#REF!),"",#REF!)</f>
        <v>#REF!</v>
      </c>
      <c r="HN2" s="31" t="e">
        <f>IF(ISBLANK(#REF!),"None",#REF!)</f>
        <v>#REF!</v>
      </c>
      <c r="HO2" s="76" t="e">
        <f>IF(ISBLANK(#REF!),"",#REF!)</f>
        <v>#REF!</v>
      </c>
      <c r="HP2" s="76" t="e">
        <f>IF(ISBLANK(#REF!),"",#REF!)</f>
        <v>#REF!</v>
      </c>
      <c r="HQ2" s="31" t="e">
        <f>IF(ISBLANK(PlEndStVinsentNumber),"None",PlEndStVinsentNumber)</f>
        <v>#REF!</v>
      </c>
      <c r="HR2" s="76" t="e">
        <f>IF(ISBLANK(PlEndStVinsentDateIssued),"",PlEndStVinsentDateIssued)</f>
        <v>#REF!</v>
      </c>
      <c r="HS2" s="76" t="e">
        <f>IF(ISBLANK(#REF!),"",#REF!)</f>
        <v>#REF!</v>
      </c>
      <c r="HT2" s="76" t="e">
        <f>IF(ISBLANK(PlVichDateIssued),"",PlVichDateIssued)</f>
        <v>#REF!</v>
      </c>
      <c r="HU2" s="76" t="e">
        <f>IF(ISBLANK(PlDifhteriaVaccinationDateIssued),"",PlDifhteriaVaccinationDateIssued)</f>
        <v>#REF!</v>
      </c>
      <c r="HV2" s="76">
        <f>IF(ISBLANK(PlYellowFeverVaccinationDateIssued),"",PlYellowFeverVaccinationDateIssued)</f>
        <v>38722</v>
      </c>
      <c r="HW2" s="31" t="s">
        <v>324</v>
      </c>
      <c r="HX2" s="31" t="str">
        <f>IF(ISBLANK(H53),"",H53)</f>
        <v>Arkhangelsk, UTS "Kotlas";</v>
      </c>
    </row>
    <row r="3" spans="1:51" ht="13.5" thickTop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26.25" customHeight="1" thickBot="1">
      <c r="A4" s="5"/>
      <c r="B4" s="6"/>
      <c r="C4" s="7"/>
      <c r="D4" s="7"/>
      <c r="E4" s="7"/>
      <c r="F4" s="7"/>
      <c r="G4" s="6" t="s">
        <v>602</v>
      </c>
      <c r="H4" s="7"/>
      <c r="I4" s="7"/>
      <c r="J4" s="7"/>
      <c r="K4" s="7"/>
      <c r="L4" s="7"/>
      <c r="M4" s="113"/>
      <c r="N4" s="7"/>
      <c r="O4" s="7"/>
      <c r="P4" s="7"/>
      <c r="Q4" s="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9.5" customHeight="1" thickBot="1" thickTop="1">
      <c r="A5" s="5"/>
      <c r="B5" s="8" t="s">
        <v>603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9" t="s">
        <v>35</v>
      </c>
      <c r="S5" s="9"/>
      <c r="T5" s="9" t="s">
        <v>458</v>
      </c>
      <c r="U5" s="9" t="s">
        <v>36</v>
      </c>
      <c r="V5" s="10"/>
      <c r="W5" s="9" t="s">
        <v>34</v>
      </c>
      <c r="X5" s="9"/>
      <c r="Y5" s="41"/>
      <c r="Z5" s="45" t="s">
        <v>37</v>
      </c>
      <c r="AA5" s="45" t="s">
        <v>1</v>
      </c>
      <c r="AB5" s="45" t="s">
        <v>450</v>
      </c>
      <c r="AC5" s="45"/>
      <c r="AD5" s="45" t="s">
        <v>27</v>
      </c>
      <c r="AE5" s="45" t="s">
        <v>31</v>
      </c>
      <c r="AF5" s="9" t="s">
        <v>30</v>
      </c>
      <c r="AG5" s="9" t="s">
        <v>32</v>
      </c>
      <c r="AH5" s="9" t="s">
        <v>29</v>
      </c>
      <c r="AI5" s="9" t="s">
        <v>33</v>
      </c>
      <c r="AJ5" s="24" t="s">
        <v>28</v>
      </c>
      <c r="AK5" s="26" t="s">
        <v>46</v>
      </c>
      <c r="AL5" s="26"/>
      <c r="AM5" s="26" t="s">
        <v>47</v>
      </c>
      <c r="AN5" s="26" t="s">
        <v>48</v>
      </c>
      <c r="AO5" s="26"/>
      <c r="AP5" s="26" t="s">
        <v>51</v>
      </c>
      <c r="AQ5" s="29" t="s">
        <v>52</v>
      </c>
      <c r="AR5" s="29"/>
      <c r="AS5" s="26" t="s">
        <v>7</v>
      </c>
      <c r="AT5" s="26" t="s">
        <v>326</v>
      </c>
      <c r="AU5" s="26" t="s">
        <v>471</v>
      </c>
      <c r="AV5" s="26" t="s">
        <v>472</v>
      </c>
      <c r="AW5" s="26" t="s">
        <v>474</v>
      </c>
      <c r="AX5" s="3"/>
      <c r="AY5" s="3"/>
    </row>
    <row r="6" spans="1:18" ht="13.5" customHeight="1" thickTop="1">
      <c r="A6" s="5"/>
      <c r="B6" s="7"/>
      <c r="C6" s="7"/>
      <c r="D6" s="7"/>
      <c r="E6" s="7"/>
      <c r="F6" s="7"/>
      <c r="G6" s="63"/>
      <c r="H6" s="63"/>
      <c r="I6" s="63"/>
      <c r="J6" s="7"/>
      <c r="K6" s="7"/>
      <c r="L6" s="7"/>
      <c r="M6" s="7"/>
      <c r="N6" s="7"/>
      <c r="O6" s="7"/>
      <c r="P6" s="7"/>
      <c r="Q6" s="3"/>
      <c r="R6" s="3"/>
    </row>
    <row r="7" spans="1:18" ht="15">
      <c r="A7" s="5"/>
      <c r="B7" s="7"/>
      <c r="C7" s="11" t="s">
        <v>604</v>
      </c>
      <c r="D7" s="173" t="s">
        <v>666</v>
      </c>
      <c r="E7" s="174"/>
      <c r="F7" s="175"/>
      <c r="G7" s="64"/>
      <c r="H7" s="64"/>
      <c r="I7" s="64"/>
      <c r="J7" s="7"/>
      <c r="K7" s="7"/>
      <c r="L7" s="7"/>
      <c r="M7" s="7"/>
      <c r="N7" s="7"/>
      <c r="O7" s="7"/>
      <c r="P7" s="7"/>
      <c r="Q7" s="3"/>
      <c r="R7" s="3"/>
    </row>
    <row r="8" spans="1:18" ht="12.75">
      <c r="A8" s="5"/>
      <c r="B8" s="7"/>
      <c r="C8" s="11" t="s">
        <v>605</v>
      </c>
      <c r="D8" s="169" t="s">
        <v>629</v>
      </c>
      <c r="E8" s="154"/>
      <c r="F8" s="155"/>
      <c r="G8" s="64"/>
      <c r="H8" s="64"/>
      <c r="I8" s="64"/>
      <c r="J8" s="7"/>
      <c r="K8" s="7"/>
      <c r="L8" s="7"/>
      <c r="M8" s="7"/>
      <c r="N8" s="7"/>
      <c r="O8" s="7"/>
      <c r="P8" s="7"/>
      <c r="Q8" s="3"/>
      <c r="R8" s="3"/>
    </row>
    <row r="9" spans="1:18" ht="12.75">
      <c r="A9" s="5"/>
      <c r="B9" s="7"/>
      <c r="C9" s="11" t="s">
        <v>606</v>
      </c>
      <c r="D9" s="169" t="s">
        <v>630</v>
      </c>
      <c r="E9" s="154"/>
      <c r="F9" s="155"/>
      <c r="G9" s="64"/>
      <c r="H9" s="64"/>
      <c r="I9" s="64"/>
      <c r="J9" s="7"/>
      <c r="K9" s="7"/>
      <c r="L9" s="7"/>
      <c r="M9" s="7"/>
      <c r="N9" s="7"/>
      <c r="O9" s="7"/>
      <c r="P9" s="7"/>
      <c r="Q9" s="3"/>
      <c r="R9" s="3"/>
    </row>
    <row r="10" spans="1:18" ht="12.75">
      <c r="A10" s="5"/>
      <c r="B10" s="7"/>
      <c r="C10" s="11" t="s">
        <v>441</v>
      </c>
      <c r="D10" s="176" t="s">
        <v>631</v>
      </c>
      <c r="E10" s="177"/>
      <c r="F10" s="178"/>
      <c r="G10" s="64"/>
      <c r="H10" s="64"/>
      <c r="I10" s="64"/>
      <c r="J10" s="7"/>
      <c r="K10" s="7"/>
      <c r="L10" s="7"/>
      <c r="M10" s="7"/>
      <c r="N10" s="7"/>
      <c r="O10" s="7"/>
      <c r="P10" s="7"/>
      <c r="Q10" s="3"/>
      <c r="R10" s="3"/>
    </row>
    <row r="11" spans="1:18" ht="12.75">
      <c r="A11" s="5"/>
      <c r="B11" s="7"/>
      <c r="C11" s="11" t="s">
        <v>607</v>
      </c>
      <c r="D11" s="183">
        <v>30341</v>
      </c>
      <c r="E11" s="184"/>
      <c r="F11" s="7"/>
      <c r="G11" s="7"/>
      <c r="H11" s="7"/>
      <c r="I11" s="64"/>
      <c r="J11" s="7"/>
      <c r="K11" s="7"/>
      <c r="L11" s="7"/>
      <c r="M11" s="7"/>
      <c r="N11" s="7"/>
      <c r="O11" s="7"/>
      <c r="P11" s="7"/>
      <c r="Q11" s="3"/>
      <c r="R11" s="3"/>
    </row>
    <row r="12" spans="1:18" ht="12.75">
      <c r="A12" s="5"/>
      <c r="B12" s="7"/>
      <c r="C12" s="11" t="s">
        <v>442</v>
      </c>
      <c r="D12" s="153" t="s">
        <v>652</v>
      </c>
      <c r="E12" s="185"/>
      <c r="F12" s="185"/>
      <c r="G12" s="185"/>
      <c r="H12" s="185"/>
      <c r="I12" s="186"/>
      <c r="J12" s="64">
        <f>IF(LEN(PlpobEngl)&gt;0,"","*")</f>
      </c>
      <c r="K12" s="7"/>
      <c r="L12" s="7"/>
      <c r="M12" s="7"/>
      <c r="N12" s="7"/>
      <c r="O12" s="7"/>
      <c r="P12" s="7"/>
      <c r="Q12" s="3"/>
      <c r="R12" s="3"/>
    </row>
    <row r="13" spans="1:18" ht="12.75">
      <c r="A13" s="5"/>
      <c r="B13" s="7"/>
      <c r="C13" s="11"/>
      <c r="D13" s="7" t="s">
        <v>608</v>
      </c>
      <c r="E13" s="7"/>
      <c r="F13" s="7"/>
      <c r="G13" s="7"/>
      <c r="H13" s="7"/>
      <c r="I13" s="7"/>
      <c r="J13" s="7"/>
      <c r="K13" s="7"/>
      <c r="L13" s="7"/>
      <c r="M13" s="7"/>
      <c r="N13" s="40"/>
      <c r="O13" s="7"/>
      <c r="P13" s="7"/>
      <c r="Q13" s="3"/>
      <c r="R13" s="3"/>
    </row>
    <row r="14" spans="1:18" ht="12.75">
      <c r="A14" s="5"/>
      <c r="B14" s="7"/>
      <c r="C14" s="11" t="s">
        <v>609</v>
      </c>
      <c r="D14" s="169" t="s">
        <v>14</v>
      </c>
      <c r="E14" s="155"/>
      <c r="F14" s="40">
        <f>IF(LEN(PladdressRegion)&gt;0,"","*")</f>
      </c>
      <c r="G14" s="7"/>
      <c r="H14" s="3"/>
      <c r="I14" s="23"/>
      <c r="J14" s="11" t="s">
        <v>444</v>
      </c>
      <c r="K14" s="153">
        <v>3500</v>
      </c>
      <c r="L14" s="154"/>
      <c r="M14" s="7" t="s">
        <v>41</v>
      </c>
      <c r="N14" s="40">
        <f>IF(LEN(PlMinWages)&gt;0,"","*")</f>
      </c>
      <c r="O14" s="7"/>
      <c r="P14" s="7"/>
      <c r="Q14" s="3"/>
      <c r="R14" s="3"/>
    </row>
    <row r="15" spans="1:18" ht="12.75">
      <c r="A15" s="5"/>
      <c r="B15" s="7"/>
      <c r="C15" s="11" t="s">
        <v>610</v>
      </c>
      <c r="D15" s="169" t="s">
        <v>648</v>
      </c>
      <c r="E15" s="154"/>
      <c r="F15" s="155"/>
      <c r="G15" s="40">
        <f>IF(LEN(PladdressTown)&gt;0,"","*")</f>
      </c>
      <c r="H15" s="7"/>
      <c r="I15" s="7"/>
      <c r="J15" s="11" t="s">
        <v>443</v>
      </c>
      <c r="K15" s="153">
        <v>4200</v>
      </c>
      <c r="L15" s="155"/>
      <c r="M15" s="7" t="s">
        <v>41</v>
      </c>
      <c r="N15" s="40">
        <f>IF(LEN(PlDesaredWages)&gt;0,"","*")</f>
      </c>
      <c r="O15" s="7"/>
      <c r="P15" s="7"/>
      <c r="Q15" s="3"/>
      <c r="R15" s="3"/>
    </row>
    <row r="16" spans="1:47" ht="15">
      <c r="A16" s="5"/>
      <c r="B16" s="7"/>
      <c r="C16" s="11" t="s">
        <v>247</v>
      </c>
      <c r="D16" s="170" t="s">
        <v>649</v>
      </c>
      <c r="E16" s="171"/>
      <c r="F16" s="171"/>
      <c r="G16" s="171"/>
      <c r="H16" s="171"/>
      <c r="I16" s="172"/>
      <c r="J16" s="40">
        <f>IF(LEN(PladdressStret)&gt;0,"","*")</f>
      </c>
      <c r="K16" s="7"/>
      <c r="L16" s="7"/>
      <c r="M16" s="7"/>
      <c r="N16" s="40"/>
      <c r="O16" s="7"/>
      <c r="P16" s="7"/>
      <c r="Q16" s="3"/>
      <c r="R16" s="14" t="s">
        <v>325</v>
      </c>
      <c r="S16" s="12" t="s">
        <v>523</v>
      </c>
      <c r="T16" s="12"/>
      <c r="U16" s="46" t="s">
        <v>439</v>
      </c>
      <c r="V16" s="46" t="s">
        <v>327</v>
      </c>
      <c r="W16" s="46">
        <v>11</v>
      </c>
      <c r="X16" s="46">
        <v>4</v>
      </c>
      <c r="Y16" s="46" t="s">
        <v>438</v>
      </c>
      <c r="Z16" s="41"/>
      <c r="AA16" s="41"/>
      <c r="AB16" s="3"/>
      <c r="AC16" s="3"/>
      <c r="AD16" s="3"/>
      <c r="AE16" s="3"/>
      <c r="AF16" s="3"/>
      <c r="AG16" s="27" t="s">
        <v>45</v>
      </c>
      <c r="AH16" s="27" t="s">
        <v>391</v>
      </c>
      <c r="AI16" s="27"/>
      <c r="AJ16" s="12" t="s">
        <v>382</v>
      </c>
      <c r="AK16" s="12" t="s">
        <v>391</v>
      </c>
      <c r="AL16" s="12" t="s">
        <v>54</v>
      </c>
      <c r="AM16" s="21" t="s">
        <v>550</v>
      </c>
      <c r="AN16" s="21" t="s">
        <v>427</v>
      </c>
      <c r="AO16" s="12" t="s">
        <v>76</v>
      </c>
      <c r="AP16" s="12" t="s">
        <v>354</v>
      </c>
      <c r="AQ16" s="12"/>
      <c r="AR16" s="12"/>
      <c r="AS16" s="12" t="s">
        <v>487</v>
      </c>
      <c r="AT16" s="3"/>
      <c r="AU16" s="3"/>
    </row>
    <row r="17" spans="1:47" ht="15">
      <c r="A17" s="5"/>
      <c r="B17" s="7"/>
      <c r="C17" s="11" t="s">
        <v>390</v>
      </c>
      <c r="D17" s="179">
        <v>164902</v>
      </c>
      <c r="E17" s="180"/>
      <c r="F17" s="7"/>
      <c r="G17" s="7"/>
      <c r="H17" s="7"/>
      <c r="I17" s="7"/>
      <c r="J17" s="7"/>
      <c r="K17" s="7"/>
      <c r="L17" s="7"/>
      <c r="M17" s="7"/>
      <c r="N17" s="7"/>
      <c r="O17" s="40"/>
      <c r="P17" s="7"/>
      <c r="Q17" s="15"/>
      <c r="R17" s="14"/>
      <c r="S17" s="12" t="s">
        <v>524</v>
      </c>
      <c r="T17" s="12" t="s">
        <v>392</v>
      </c>
      <c r="U17" s="46" t="s">
        <v>437</v>
      </c>
      <c r="V17" s="46" t="s">
        <v>328</v>
      </c>
      <c r="W17" s="46">
        <v>12</v>
      </c>
      <c r="X17" s="46">
        <v>4</v>
      </c>
      <c r="Y17" s="46" t="s">
        <v>439</v>
      </c>
      <c r="Z17" s="41"/>
      <c r="AA17" s="41"/>
      <c r="AB17" s="3"/>
      <c r="AC17" s="3"/>
      <c r="AD17" s="3"/>
      <c r="AE17" s="3"/>
      <c r="AF17" s="3"/>
      <c r="AG17" s="27">
        <v>3</v>
      </c>
      <c r="AH17" s="27"/>
      <c r="AI17" s="27"/>
      <c r="AJ17" s="12" t="s">
        <v>383</v>
      </c>
      <c r="AK17" s="12" t="s">
        <v>391</v>
      </c>
      <c r="AL17" s="12" t="s">
        <v>55</v>
      </c>
      <c r="AM17" s="21" t="s">
        <v>75</v>
      </c>
      <c r="AN17" s="21" t="s">
        <v>468</v>
      </c>
      <c r="AO17" s="12" t="s">
        <v>77</v>
      </c>
      <c r="AP17" s="12" t="s">
        <v>355</v>
      </c>
      <c r="AQ17" s="12"/>
      <c r="AR17" s="12"/>
      <c r="AS17" s="12" t="s">
        <v>488</v>
      </c>
      <c r="AT17" s="3"/>
      <c r="AU17" s="3"/>
    </row>
    <row r="18" spans="1:47" ht="15">
      <c r="A18" s="5"/>
      <c r="B18" s="7"/>
      <c r="C18" s="11" t="s">
        <v>611</v>
      </c>
      <c r="D18" s="169" t="s">
        <v>650</v>
      </c>
      <c r="E18" s="154"/>
      <c r="F18" s="155"/>
      <c r="G18" s="11" t="s">
        <v>38</v>
      </c>
      <c r="H18" s="169" t="s">
        <v>651</v>
      </c>
      <c r="I18" s="154"/>
      <c r="J18" s="155"/>
      <c r="K18" s="11" t="s">
        <v>469</v>
      </c>
      <c r="L18" s="158" t="s">
        <v>633</v>
      </c>
      <c r="M18" s="159"/>
      <c r="N18" s="160"/>
      <c r="O18" s="40">
        <f>IF(LEN(PlEmail)&gt;0,"","*")</f>
      </c>
      <c r="P18" s="7"/>
      <c r="Q18" s="3"/>
      <c r="R18" s="14" t="s">
        <v>325</v>
      </c>
      <c r="S18" s="12" t="s">
        <v>525</v>
      </c>
      <c r="T18" s="12" t="s">
        <v>393</v>
      </c>
      <c r="U18" s="46" t="s">
        <v>438</v>
      </c>
      <c r="V18" s="46" t="s">
        <v>329</v>
      </c>
      <c r="W18" s="46">
        <v>13</v>
      </c>
      <c r="X18" s="46">
        <v>4</v>
      </c>
      <c r="Y18" s="46" t="s">
        <v>440</v>
      </c>
      <c r="Z18" s="41"/>
      <c r="AA18" s="41"/>
      <c r="AB18" s="3"/>
      <c r="AC18" s="3"/>
      <c r="AD18" s="3"/>
      <c r="AE18" s="3"/>
      <c r="AF18" s="3"/>
      <c r="AG18" s="27" t="s">
        <v>506</v>
      </c>
      <c r="AH18" s="27" t="s">
        <v>391</v>
      </c>
      <c r="AI18" s="27"/>
      <c r="AJ18" s="12" t="s">
        <v>384</v>
      </c>
      <c r="AK18" s="12" t="s">
        <v>391</v>
      </c>
      <c r="AL18" s="12" t="s">
        <v>56</v>
      </c>
      <c r="AM18" s="21" t="s">
        <v>552</v>
      </c>
      <c r="AN18" s="21" t="s">
        <v>428</v>
      </c>
      <c r="AO18" s="12" t="s">
        <v>78</v>
      </c>
      <c r="AP18" s="12" t="s">
        <v>356</v>
      </c>
      <c r="AQ18" s="12"/>
      <c r="AR18" s="12"/>
      <c r="AS18" s="12" t="s">
        <v>489</v>
      </c>
      <c r="AT18" s="3"/>
      <c r="AU18" s="3"/>
    </row>
    <row r="19" spans="1:47" ht="15">
      <c r="A19" s="5"/>
      <c r="B19" s="7"/>
      <c r="C19" s="7"/>
      <c r="D19" s="40"/>
      <c r="E19" s="40"/>
      <c r="F19" s="7"/>
      <c r="G19" s="7"/>
      <c r="H19" s="7"/>
      <c r="I19" s="7"/>
      <c r="J19" s="7"/>
      <c r="K19" s="11" t="s">
        <v>476</v>
      </c>
      <c r="L19" s="126">
        <v>562650965</v>
      </c>
      <c r="M19" s="127"/>
      <c r="N19" s="127"/>
      <c r="O19" s="40"/>
      <c r="P19" s="7"/>
      <c r="Q19" s="15"/>
      <c r="R19" s="14"/>
      <c r="S19" s="12" t="s">
        <v>526</v>
      </c>
      <c r="T19" s="12" t="s">
        <v>394</v>
      </c>
      <c r="U19" s="46" t="s">
        <v>438</v>
      </c>
      <c r="V19" s="46" t="s">
        <v>330</v>
      </c>
      <c r="W19" s="46">
        <v>14</v>
      </c>
      <c r="X19" s="46">
        <v>3</v>
      </c>
      <c r="Y19" s="46" t="s">
        <v>437</v>
      </c>
      <c r="Z19" s="41"/>
      <c r="AA19" s="41"/>
      <c r="AB19" s="3"/>
      <c r="AC19" s="3"/>
      <c r="AD19" s="3"/>
      <c r="AE19" s="3"/>
      <c r="AF19" s="3"/>
      <c r="AG19" s="27" t="s">
        <v>507</v>
      </c>
      <c r="AH19" s="27" t="s">
        <v>391</v>
      </c>
      <c r="AI19" s="27"/>
      <c r="AJ19" s="12" t="s">
        <v>385</v>
      </c>
      <c r="AK19" s="12" t="s">
        <v>422</v>
      </c>
      <c r="AL19" s="12" t="s">
        <v>57</v>
      </c>
      <c r="AM19" s="21" t="s">
        <v>555</v>
      </c>
      <c r="AN19" s="21" t="s">
        <v>429</v>
      </c>
      <c r="AO19" s="12" t="s">
        <v>518</v>
      </c>
      <c r="AP19" s="12" t="s">
        <v>357</v>
      </c>
      <c r="AQ19" s="12"/>
      <c r="AR19" s="12"/>
      <c r="AS19" s="12" t="s">
        <v>490</v>
      </c>
      <c r="AT19" s="3"/>
      <c r="AU19" s="3"/>
    </row>
    <row r="20" spans="1:47" ht="15">
      <c r="A20" s="5"/>
      <c r="B20" s="7"/>
      <c r="C20" s="11" t="s">
        <v>612</v>
      </c>
      <c r="D20" s="169" t="s">
        <v>15</v>
      </c>
      <c r="E20" s="155"/>
      <c r="F20" s="40">
        <f>IF(LEN(PlSex)&gt;0,"","*")</f>
      </c>
      <c r="G20" s="7"/>
      <c r="H20" s="7"/>
      <c r="I20" s="7"/>
      <c r="J20" s="42"/>
      <c r="K20" s="7"/>
      <c r="L20" s="7"/>
      <c r="M20" s="7"/>
      <c r="N20" s="7"/>
      <c r="O20" s="40"/>
      <c r="P20" s="7"/>
      <c r="Q20" s="3"/>
      <c r="R20" s="14" t="s">
        <v>325</v>
      </c>
      <c r="S20" s="12" t="s">
        <v>527</v>
      </c>
      <c r="T20" s="12"/>
      <c r="U20" s="46" t="s">
        <v>437</v>
      </c>
      <c r="V20" s="46" t="s">
        <v>331</v>
      </c>
      <c r="W20" s="46">
        <v>15</v>
      </c>
      <c r="X20" s="46">
        <v>4</v>
      </c>
      <c r="Y20" s="46"/>
      <c r="Z20" s="41"/>
      <c r="AA20" s="41"/>
      <c r="AB20" s="3"/>
      <c r="AC20" s="3"/>
      <c r="AD20" s="3"/>
      <c r="AE20" s="3"/>
      <c r="AF20" s="3"/>
      <c r="AG20" s="27">
        <v>4</v>
      </c>
      <c r="AH20" s="27"/>
      <c r="AI20" s="27"/>
      <c r="AJ20" s="12" t="s">
        <v>511</v>
      </c>
      <c r="AK20" s="12" t="s">
        <v>422</v>
      </c>
      <c r="AL20" s="12" t="s">
        <v>58</v>
      </c>
      <c r="AM20" s="21" t="s">
        <v>559</v>
      </c>
      <c r="AN20" s="21" t="s">
        <v>430</v>
      </c>
      <c r="AO20" s="12"/>
      <c r="AP20" s="12" t="s">
        <v>358</v>
      </c>
      <c r="AQ20" s="12"/>
      <c r="AR20" s="12"/>
      <c r="AS20" s="12" t="s">
        <v>491</v>
      </c>
      <c r="AT20" s="3"/>
      <c r="AU20" s="3"/>
    </row>
    <row r="21" spans="1:47" ht="15">
      <c r="A21" s="5"/>
      <c r="B21" s="7"/>
      <c r="C21" s="11" t="s">
        <v>613</v>
      </c>
      <c r="D21" s="169" t="s">
        <v>14</v>
      </c>
      <c r="E21" s="155"/>
      <c r="F21" s="40">
        <f>IF(LEN(PlNationality)&gt;0,"","*")</f>
      </c>
      <c r="G21" s="11" t="s">
        <v>39</v>
      </c>
      <c r="H21" s="169" t="s">
        <v>14</v>
      </c>
      <c r="I21" s="155"/>
      <c r="J21" s="40">
        <f>IF(LEN(PlCitizenship)&gt;0,"","*")</f>
      </c>
      <c r="K21" s="7"/>
      <c r="L21" s="7"/>
      <c r="M21" s="7"/>
      <c r="N21" s="7"/>
      <c r="O21" s="40"/>
      <c r="P21" s="7"/>
      <c r="Q21" s="15"/>
      <c r="R21" s="14"/>
      <c r="S21" s="12" t="s">
        <v>528</v>
      </c>
      <c r="T21" s="12"/>
      <c r="U21" s="46" t="s">
        <v>440</v>
      </c>
      <c r="V21" s="46" t="s">
        <v>332</v>
      </c>
      <c r="W21" s="46">
        <v>16</v>
      </c>
      <c r="X21" s="46">
        <v>4</v>
      </c>
      <c r="Y21" s="46"/>
      <c r="Z21" s="41"/>
      <c r="AA21" s="41"/>
      <c r="AB21" s="3"/>
      <c r="AC21" s="3"/>
      <c r="AD21" s="3"/>
      <c r="AE21" s="3"/>
      <c r="AF21" s="3"/>
      <c r="AG21" s="27" t="s">
        <v>379</v>
      </c>
      <c r="AH21" s="27" t="s">
        <v>391</v>
      </c>
      <c r="AI21" s="27"/>
      <c r="AJ21" s="12" t="s">
        <v>386</v>
      </c>
      <c r="AK21" s="12" t="s">
        <v>422</v>
      </c>
      <c r="AL21" s="12" t="s">
        <v>59</v>
      </c>
      <c r="AM21" s="21" t="s">
        <v>74</v>
      </c>
      <c r="AN21" s="21" t="s">
        <v>431</v>
      </c>
      <c r="AO21" s="12" t="s">
        <v>79</v>
      </c>
      <c r="AP21" s="12" t="s">
        <v>359</v>
      </c>
      <c r="AQ21" s="12"/>
      <c r="AR21" s="12"/>
      <c r="AS21" s="12" t="s">
        <v>492</v>
      </c>
      <c r="AT21" s="3"/>
      <c r="AU21" s="3"/>
    </row>
    <row r="22" spans="1:47" ht="15">
      <c r="A22" s="5"/>
      <c r="B22" s="7"/>
      <c r="C22" s="11" t="s">
        <v>614</v>
      </c>
      <c r="D22" s="169" t="s">
        <v>26</v>
      </c>
      <c r="E22" s="155"/>
      <c r="F22" s="40">
        <f>IF(LEN(PlMaritalStat)&gt;0,"","*")</f>
      </c>
      <c r="G22" s="40"/>
      <c r="H22" s="7"/>
      <c r="I22" s="7"/>
      <c r="J22" s="40"/>
      <c r="K22" s="7"/>
      <c r="L22" s="7"/>
      <c r="M22" s="7"/>
      <c r="N22" s="7"/>
      <c r="O22" s="7"/>
      <c r="P22" s="7"/>
      <c r="Q22" s="3"/>
      <c r="R22" s="14" t="s">
        <v>325</v>
      </c>
      <c r="S22" s="12" t="s">
        <v>529</v>
      </c>
      <c r="T22" s="12" t="s">
        <v>395</v>
      </c>
      <c r="U22" s="46" t="s">
        <v>439</v>
      </c>
      <c r="V22" s="46" t="s">
        <v>333</v>
      </c>
      <c r="W22" s="46">
        <v>17</v>
      </c>
      <c r="X22" s="46">
        <v>4</v>
      </c>
      <c r="Y22" s="46"/>
      <c r="Z22" s="41"/>
      <c r="AA22" s="41"/>
      <c r="AB22" s="3"/>
      <c r="AC22" s="3"/>
      <c r="AD22" s="3"/>
      <c r="AE22" s="3"/>
      <c r="AF22" s="3"/>
      <c r="AG22" s="27">
        <v>5</v>
      </c>
      <c r="AH22" s="27"/>
      <c r="AI22" s="27"/>
      <c r="AJ22" s="12" t="s">
        <v>509</v>
      </c>
      <c r="AK22" s="12" t="s">
        <v>422</v>
      </c>
      <c r="AL22" s="12" t="s">
        <v>60</v>
      </c>
      <c r="AM22" s="21" t="s">
        <v>562</v>
      </c>
      <c r="AN22" s="21" t="s">
        <v>412</v>
      </c>
      <c r="AO22" s="12" t="s">
        <v>519</v>
      </c>
      <c r="AP22" s="12" t="s">
        <v>360</v>
      </c>
      <c r="AQ22" s="12"/>
      <c r="AR22" s="12"/>
      <c r="AS22" s="12" t="s">
        <v>493</v>
      </c>
      <c r="AT22" s="3"/>
      <c r="AU22" s="3"/>
    </row>
    <row r="23" spans="1:47" ht="15.75" thickBot="1">
      <c r="A23" s="5"/>
      <c r="B23" s="7"/>
      <c r="C23" s="11" t="s">
        <v>615</v>
      </c>
      <c r="D23" s="170" t="s">
        <v>634</v>
      </c>
      <c r="E23" s="171"/>
      <c r="F23" s="171"/>
      <c r="G23" s="171"/>
      <c r="H23" s="171"/>
      <c r="I23" s="172"/>
      <c r="J23" s="40">
        <f>IF(LEN(PlEducation)&gt;0,"","*")</f>
      </c>
      <c r="K23" s="7"/>
      <c r="L23" s="7"/>
      <c r="M23" s="7" t="s">
        <v>40</v>
      </c>
      <c r="N23" s="7"/>
      <c r="O23" s="7"/>
      <c r="P23" s="7"/>
      <c r="Q23" s="3"/>
      <c r="R23" s="14" t="s">
        <v>325</v>
      </c>
      <c r="S23" s="12" t="s">
        <v>530</v>
      </c>
      <c r="T23" s="12"/>
      <c r="U23" s="46" t="s">
        <v>437</v>
      </c>
      <c r="V23" s="46" t="s">
        <v>334</v>
      </c>
      <c r="W23" s="46">
        <v>19</v>
      </c>
      <c r="X23" s="46">
        <v>5</v>
      </c>
      <c r="Y23" s="47"/>
      <c r="Z23" s="41"/>
      <c r="AA23" s="41"/>
      <c r="AB23" s="3"/>
      <c r="AC23" s="3"/>
      <c r="AD23" s="3"/>
      <c r="AE23" s="3"/>
      <c r="AF23" s="3"/>
      <c r="AG23" s="27" t="s">
        <v>378</v>
      </c>
      <c r="AH23" s="27" t="s">
        <v>391</v>
      </c>
      <c r="AI23" s="27"/>
      <c r="AJ23" s="12" t="s">
        <v>510</v>
      </c>
      <c r="AK23" s="12" t="s">
        <v>422</v>
      </c>
      <c r="AL23" s="12" t="s">
        <v>72</v>
      </c>
      <c r="AM23" s="21" t="s">
        <v>563</v>
      </c>
      <c r="AN23" s="21" t="s">
        <v>432</v>
      </c>
      <c r="AO23" s="12"/>
      <c r="AP23" s="12" t="s">
        <v>361</v>
      </c>
      <c r="AQ23" s="12"/>
      <c r="AR23" s="12"/>
      <c r="AS23" s="12" t="s">
        <v>494</v>
      </c>
      <c r="AT23" s="3"/>
      <c r="AU23" s="3"/>
    </row>
    <row r="24" spans="1:51" ht="15.75" thickTop="1">
      <c r="A24" s="5"/>
      <c r="B24" s="7"/>
      <c r="C24" s="7"/>
      <c r="D24" s="7"/>
      <c r="E24" s="7"/>
      <c r="F24" s="7"/>
      <c r="G24" s="7"/>
      <c r="H24" s="7"/>
      <c r="I24" s="7"/>
      <c r="J24" s="7"/>
      <c r="K24" s="42"/>
      <c r="L24" s="7"/>
      <c r="M24" s="7"/>
      <c r="N24" s="163"/>
      <c r="O24" s="164"/>
      <c r="P24" s="42"/>
      <c r="Q24" s="7"/>
      <c r="R24" s="60" t="s">
        <v>477</v>
      </c>
      <c r="S24" s="60">
        <v>21</v>
      </c>
      <c r="T24" s="61" t="s">
        <v>461</v>
      </c>
      <c r="U24" s="15"/>
      <c r="V24" s="14" t="s">
        <v>325</v>
      </c>
      <c r="W24" s="12" t="s">
        <v>531</v>
      </c>
      <c r="X24" s="12" t="s">
        <v>396</v>
      </c>
      <c r="Y24" s="46"/>
      <c r="Z24" s="46" t="s">
        <v>335</v>
      </c>
      <c r="AA24" s="46">
        <v>21</v>
      </c>
      <c r="AB24" s="46">
        <v>4</v>
      </c>
      <c r="AC24" s="46"/>
      <c r="AD24" s="41"/>
      <c r="AE24" s="41"/>
      <c r="AF24" s="3"/>
      <c r="AG24" s="3"/>
      <c r="AH24" s="3"/>
      <c r="AI24" s="3"/>
      <c r="AJ24" s="3"/>
      <c r="AK24" s="27" t="s">
        <v>377</v>
      </c>
      <c r="AL24" s="27" t="s">
        <v>391</v>
      </c>
      <c r="AM24" s="27"/>
      <c r="AN24" s="12" t="s">
        <v>387</v>
      </c>
      <c r="AO24" s="12" t="s">
        <v>406</v>
      </c>
      <c r="AP24" s="12" t="s">
        <v>61</v>
      </c>
      <c r="AQ24" s="21" t="s">
        <v>573</v>
      </c>
      <c r="AR24" s="21" t="s">
        <v>434</v>
      </c>
      <c r="AS24" s="12"/>
      <c r="AT24" s="12" t="s">
        <v>362</v>
      </c>
      <c r="AU24" s="12"/>
      <c r="AV24" s="12"/>
      <c r="AW24" s="12" t="s">
        <v>495</v>
      </c>
      <c r="AX24" s="3"/>
      <c r="AY24" s="3"/>
    </row>
    <row r="25" spans="1:51" ht="18.75" thickBot="1">
      <c r="A25" s="5"/>
      <c r="B25" s="8" t="s">
        <v>616</v>
      </c>
      <c r="C25" s="7"/>
      <c r="D25" s="7"/>
      <c r="E25" s="7"/>
      <c r="F25" s="7"/>
      <c r="G25" s="42"/>
      <c r="H25" s="7"/>
      <c r="I25" s="7"/>
      <c r="J25" s="42"/>
      <c r="K25" s="7"/>
      <c r="L25" s="7"/>
      <c r="M25" s="7"/>
      <c r="N25" s="165"/>
      <c r="O25" s="166"/>
      <c r="P25" s="7"/>
      <c r="Q25" s="7"/>
      <c r="R25" s="60" t="s">
        <v>478</v>
      </c>
      <c r="S25" s="60">
        <v>22</v>
      </c>
      <c r="T25" s="61">
        <v>5</v>
      </c>
      <c r="U25" s="15"/>
      <c r="V25" s="14"/>
      <c r="W25" s="12" t="s">
        <v>532</v>
      </c>
      <c r="X25" s="12" t="s">
        <v>397</v>
      </c>
      <c r="Y25" s="46"/>
      <c r="Z25" s="46" t="s">
        <v>336</v>
      </c>
      <c r="AA25" s="46">
        <v>22</v>
      </c>
      <c r="AB25" s="46">
        <v>4</v>
      </c>
      <c r="AC25" s="46"/>
      <c r="AD25" s="41"/>
      <c r="AE25" s="41"/>
      <c r="AF25" s="3"/>
      <c r="AG25" s="3"/>
      <c r="AH25" s="3"/>
      <c r="AI25" s="3"/>
      <c r="AJ25" s="3"/>
      <c r="AK25" s="27" t="s">
        <v>376</v>
      </c>
      <c r="AL25" s="27" t="s">
        <v>391</v>
      </c>
      <c r="AM25" s="27"/>
      <c r="AN25" s="13"/>
      <c r="AO25" s="13"/>
      <c r="AP25" s="12" t="s">
        <v>62</v>
      </c>
      <c r="AQ25" s="21" t="s">
        <v>73</v>
      </c>
      <c r="AR25" s="21" t="s">
        <v>435</v>
      </c>
      <c r="AS25" s="12" t="s">
        <v>81</v>
      </c>
      <c r="AT25" s="12" t="s">
        <v>363</v>
      </c>
      <c r="AU25" s="12"/>
      <c r="AV25" s="12"/>
      <c r="AW25" s="12" t="s">
        <v>496</v>
      </c>
      <c r="AX25" s="3"/>
      <c r="AY25" s="3"/>
    </row>
    <row r="26" spans="1:51" ht="15.75" thickTop="1">
      <c r="A26" s="5"/>
      <c r="B26" s="7"/>
      <c r="C26" s="7"/>
      <c r="D26" s="11" t="s">
        <v>617</v>
      </c>
      <c r="E26" s="32">
        <v>95</v>
      </c>
      <c r="F26" s="7" t="s">
        <v>16</v>
      </c>
      <c r="G26" s="40">
        <f>IF(LEN(PlWeight)&gt;0,"","*")</f>
      </c>
      <c r="H26" s="11" t="s">
        <v>623</v>
      </c>
      <c r="I26" s="34" t="s">
        <v>18</v>
      </c>
      <c r="J26" s="40">
        <f>IF(LEN(PlHairs_color)&gt;0,"","*")</f>
      </c>
      <c r="K26" s="7"/>
      <c r="L26" s="7"/>
      <c r="M26" s="7"/>
      <c r="N26" s="165"/>
      <c r="O26" s="166"/>
      <c r="P26" s="7"/>
      <c r="Q26" s="7"/>
      <c r="R26" s="60" t="s">
        <v>479</v>
      </c>
      <c r="S26" s="60">
        <v>23</v>
      </c>
      <c r="T26" s="61">
        <v>5</v>
      </c>
      <c r="U26" s="3"/>
      <c r="V26" s="14" t="s">
        <v>352</v>
      </c>
      <c r="W26" s="12" t="s">
        <v>533</v>
      </c>
      <c r="X26" s="12"/>
      <c r="Y26" s="46"/>
      <c r="Z26" s="46" t="s">
        <v>337</v>
      </c>
      <c r="AA26" s="46">
        <v>23</v>
      </c>
      <c r="AB26" s="46">
        <v>4</v>
      </c>
      <c r="AC26" s="46" t="s">
        <v>437</v>
      </c>
      <c r="AD26" s="41"/>
      <c r="AE26" s="41"/>
      <c r="AF26" s="3"/>
      <c r="AG26" s="3"/>
      <c r="AH26" s="3"/>
      <c r="AI26" s="3"/>
      <c r="AJ26" s="3"/>
      <c r="AK26" s="27" t="s">
        <v>375</v>
      </c>
      <c r="AL26" s="27" t="s">
        <v>391</v>
      </c>
      <c r="AM26" s="27"/>
      <c r="AN26" s="3"/>
      <c r="AO26" s="3"/>
      <c r="AP26" s="12" t="s">
        <v>63</v>
      </c>
      <c r="AQ26" s="21" t="s">
        <v>585</v>
      </c>
      <c r="AR26" s="21" t="s">
        <v>436</v>
      </c>
      <c r="AS26" s="12" t="s">
        <v>87</v>
      </c>
      <c r="AT26" s="12" t="s">
        <v>364</v>
      </c>
      <c r="AU26" s="12"/>
      <c r="AV26" s="12"/>
      <c r="AW26" s="12" t="s">
        <v>497</v>
      </c>
      <c r="AX26" s="3"/>
      <c r="AY26" s="3"/>
    </row>
    <row r="27" spans="1:51" ht="13.5" thickBot="1">
      <c r="A27" s="5"/>
      <c r="B27" s="7"/>
      <c r="C27" s="7"/>
      <c r="D27" s="11" t="s">
        <v>618</v>
      </c>
      <c r="E27" s="33">
        <v>1.85</v>
      </c>
      <c r="F27" s="7" t="s">
        <v>17</v>
      </c>
      <c r="G27" s="40">
        <f>IF(LEN(PlHeight)&gt;0,"","*")</f>
      </c>
      <c r="H27" s="11" t="s">
        <v>622</v>
      </c>
      <c r="I27" s="35" t="s">
        <v>635</v>
      </c>
      <c r="J27" s="40">
        <f>IF(LEN(PlEyes_color)&gt;0,"","*")</f>
      </c>
      <c r="K27" s="7"/>
      <c r="L27" s="7"/>
      <c r="M27" s="7"/>
      <c r="N27" s="165"/>
      <c r="O27" s="166"/>
      <c r="P27" s="7"/>
      <c r="Q27" s="7"/>
      <c r="R27" s="60" t="s">
        <v>480</v>
      </c>
      <c r="S27" s="60">
        <v>24</v>
      </c>
      <c r="T27" s="61">
        <v>5</v>
      </c>
      <c r="U27" s="3"/>
      <c r="V27" s="3"/>
      <c r="W27" s="12" t="s">
        <v>534</v>
      </c>
      <c r="X27" s="12"/>
      <c r="Y27" s="46"/>
      <c r="Z27" s="46" t="s">
        <v>339</v>
      </c>
      <c r="AA27" s="46">
        <v>24</v>
      </c>
      <c r="AB27" s="46">
        <v>6</v>
      </c>
      <c r="AC27" s="46"/>
      <c r="AD27" s="41"/>
      <c r="AE27" s="41"/>
      <c r="AF27" s="3"/>
      <c r="AG27" s="3"/>
      <c r="AH27" s="3"/>
      <c r="AI27" s="3"/>
      <c r="AJ27" s="3"/>
      <c r="AK27" s="27">
        <v>6</v>
      </c>
      <c r="AL27" s="27"/>
      <c r="AM27" s="27"/>
      <c r="AN27" s="3"/>
      <c r="AO27" s="3"/>
      <c r="AP27" s="12" t="s">
        <v>64</v>
      </c>
      <c r="AQ27" s="25" t="s">
        <v>586</v>
      </c>
      <c r="AR27" s="25" t="s">
        <v>422</v>
      </c>
      <c r="AS27" s="12" t="s">
        <v>82</v>
      </c>
      <c r="AT27" s="12" t="s">
        <v>365</v>
      </c>
      <c r="AU27" s="12"/>
      <c r="AV27" s="12"/>
      <c r="AW27" s="12" t="s">
        <v>498</v>
      </c>
      <c r="AX27" s="3"/>
      <c r="AY27" s="3"/>
    </row>
    <row r="28" spans="1:51" ht="13.5" thickTop="1">
      <c r="A28" s="5"/>
      <c r="B28" s="7"/>
      <c r="C28" s="7"/>
      <c r="D28" s="11" t="s">
        <v>620</v>
      </c>
      <c r="E28" s="32">
        <v>56</v>
      </c>
      <c r="F28" s="48" t="s">
        <v>44</v>
      </c>
      <c r="G28" s="40">
        <f>IF(LEN(PlClothes_Size)&gt;0,"","*")</f>
      </c>
      <c r="H28" s="11" t="s">
        <v>624</v>
      </c>
      <c r="I28" s="35" t="s">
        <v>19</v>
      </c>
      <c r="J28" s="40">
        <f>IF(LEN(PlSkins_Color)&gt;0,"","*")</f>
      </c>
      <c r="K28" s="7"/>
      <c r="L28" s="7"/>
      <c r="M28" s="7"/>
      <c r="N28" s="165"/>
      <c r="O28" s="166"/>
      <c r="P28" s="7"/>
      <c r="Q28" s="7"/>
      <c r="R28" s="60" t="s">
        <v>481</v>
      </c>
      <c r="S28" s="60">
        <v>25</v>
      </c>
      <c r="T28" s="61">
        <v>6</v>
      </c>
      <c r="U28" s="3"/>
      <c r="V28" s="3"/>
      <c r="W28" s="12" t="s">
        <v>535</v>
      </c>
      <c r="X28" s="12"/>
      <c r="Y28" s="12"/>
      <c r="Z28" s="12" t="s">
        <v>338</v>
      </c>
      <c r="AA28" s="46">
        <v>25</v>
      </c>
      <c r="AB28" s="46">
        <v>6</v>
      </c>
      <c r="AC28" s="46"/>
      <c r="AD28" s="3"/>
      <c r="AE28" s="3"/>
      <c r="AF28" s="3"/>
      <c r="AG28" s="3"/>
      <c r="AH28" s="3"/>
      <c r="AI28" s="3"/>
      <c r="AJ28" s="3"/>
      <c r="AK28" s="27" t="s">
        <v>374</v>
      </c>
      <c r="AL28" s="27" t="s">
        <v>391</v>
      </c>
      <c r="AM28" s="27"/>
      <c r="AN28" s="3"/>
      <c r="AO28" s="3"/>
      <c r="AP28" s="12" t="s">
        <v>65</v>
      </c>
      <c r="AQ28" s="3"/>
      <c r="AR28" s="3"/>
      <c r="AS28" s="12" t="s">
        <v>517</v>
      </c>
      <c r="AT28" s="12" t="s">
        <v>366</v>
      </c>
      <c r="AU28" s="12"/>
      <c r="AV28" s="12"/>
      <c r="AW28" s="12" t="s">
        <v>499</v>
      </c>
      <c r="AX28" s="3"/>
      <c r="AY28" s="3"/>
    </row>
    <row r="29" spans="1:51" ht="12.75">
      <c r="A29" s="5"/>
      <c r="B29" s="7"/>
      <c r="C29" s="7"/>
      <c r="D29" s="11" t="s">
        <v>619</v>
      </c>
      <c r="E29" s="32">
        <v>43</v>
      </c>
      <c r="F29" s="7"/>
      <c r="G29" s="40">
        <f>IF(LEN(E29)&gt;0,"","*")</f>
      </c>
      <c r="H29" s="7"/>
      <c r="I29" s="7"/>
      <c r="J29" s="40"/>
      <c r="K29" s="7"/>
      <c r="L29" s="7"/>
      <c r="M29" s="7"/>
      <c r="N29" s="165"/>
      <c r="O29" s="166"/>
      <c r="P29" s="7"/>
      <c r="Q29" s="7"/>
      <c r="R29" s="60" t="s">
        <v>482</v>
      </c>
      <c r="S29" s="60">
        <v>26</v>
      </c>
      <c r="T29" s="61">
        <v>5</v>
      </c>
      <c r="U29" s="3"/>
      <c r="V29" s="3"/>
      <c r="W29" s="12" t="s">
        <v>536</v>
      </c>
      <c r="X29" s="12" t="s">
        <v>398</v>
      </c>
      <c r="Y29" s="12"/>
      <c r="Z29" s="12" t="s">
        <v>340</v>
      </c>
      <c r="AA29" s="46">
        <v>26</v>
      </c>
      <c r="AB29" s="46">
        <v>6</v>
      </c>
      <c r="AC29" s="52"/>
      <c r="AD29" s="3"/>
      <c r="AE29" s="3"/>
      <c r="AF29" s="3"/>
      <c r="AG29" s="3"/>
      <c r="AH29" s="3"/>
      <c r="AI29" s="3"/>
      <c r="AJ29" s="3"/>
      <c r="AK29" s="27" t="s">
        <v>508</v>
      </c>
      <c r="AL29" s="27" t="s">
        <v>391</v>
      </c>
      <c r="AM29" s="27"/>
      <c r="AN29" s="3"/>
      <c r="AO29" s="3"/>
      <c r="AP29" s="12" t="s">
        <v>66</v>
      </c>
      <c r="AQ29" s="3"/>
      <c r="AR29" s="3"/>
      <c r="AS29" s="12" t="s">
        <v>513</v>
      </c>
      <c r="AT29" s="12" t="s">
        <v>367</v>
      </c>
      <c r="AU29" s="12"/>
      <c r="AV29" s="12"/>
      <c r="AW29" s="12" t="s">
        <v>500</v>
      </c>
      <c r="AX29" s="3"/>
      <c r="AY29" s="3"/>
    </row>
    <row r="30" spans="1:51" ht="15.75" customHeight="1">
      <c r="A30" s="5"/>
      <c r="B30" s="7"/>
      <c r="C30" s="7"/>
      <c r="D30" s="11" t="s">
        <v>621</v>
      </c>
      <c r="E30" s="32">
        <v>58</v>
      </c>
      <c r="F30" s="7" t="s">
        <v>463</v>
      </c>
      <c r="G30" s="40">
        <f>IF(LEN(PlHead_Size)&gt;0,"","*")</f>
      </c>
      <c r="H30" s="7"/>
      <c r="I30" s="7"/>
      <c r="J30" s="42"/>
      <c r="K30" s="7"/>
      <c r="L30" s="7"/>
      <c r="M30" s="7"/>
      <c r="N30" s="165"/>
      <c r="O30" s="166"/>
      <c r="P30" s="7"/>
      <c r="Q30" s="7"/>
      <c r="R30" s="60" t="s">
        <v>484</v>
      </c>
      <c r="S30" s="60">
        <v>27</v>
      </c>
      <c r="T30" s="61">
        <v>5</v>
      </c>
      <c r="U30" s="3"/>
      <c r="V30" s="3"/>
      <c r="W30" s="12" t="s">
        <v>537</v>
      </c>
      <c r="X30" s="12"/>
      <c r="Y30" s="12"/>
      <c r="Z30" s="12" t="s">
        <v>342</v>
      </c>
      <c r="AA30" s="46">
        <v>27</v>
      </c>
      <c r="AB30" s="46">
        <v>6</v>
      </c>
      <c r="AC30" s="52"/>
      <c r="AD30" s="3"/>
      <c r="AE30" s="3"/>
      <c r="AF30" s="3"/>
      <c r="AG30" s="3"/>
      <c r="AH30" s="3"/>
      <c r="AI30" s="3"/>
      <c r="AJ30" s="3"/>
      <c r="AK30" s="27" t="s">
        <v>452</v>
      </c>
      <c r="AL30" s="27" t="s">
        <v>391</v>
      </c>
      <c r="AM30" s="27"/>
      <c r="AN30" s="3"/>
      <c r="AO30" s="3"/>
      <c r="AP30" s="12" t="s">
        <v>67</v>
      </c>
      <c r="AQ30" s="3"/>
      <c r="AR30" s="3"/>
      <c r="AS30" s="12" t="s">
        <v>514</v>
      </c>
      <c r="AT30" s="12" t="s">
        <v>368</v>
      </c>
      <c r="AU30" s="12"/>
      <c r="AV30" s="12"/>
      <c r="AW30" s="12" t="s">
        <v>501</v>
      </c>
      <c r="AX30" s="3"/>
      <c r="AY30" s="3"/>
    </row>
    <row r="31" spans="1:51" ht="12.75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65"/>
      <c r="O31" s="166"/>
      <c r="P31" s="7"/>
      <c r="Q31" s="7"/>
      <c r="R31" s="60" t="s">
        <v>344</v>
      </c>
      <c r="S31" s="60">
        <v>28</v>
      </c>
      <c r="T31" s="61">
        <v>5</v>
      </c>
      <c r="U31" s="3"/>
      <c r="V31" s="3"/>
      <c r="W31" s="12" t="s">
        <v>538</v>
      </c>
      <c r="X31" s="12"/>
      <c r="Y31" s="12"/>
      <c r="Z31" s="12" t="s">
        <v>341</v>
      </c>
      <c r="AA31" s="46">
        <v>28</v>
      </c>
      <c r="AB31" s="46">
        <v>6</v>
      </c>
      <c r="AC31" s="52"/>
      <c r="AD31" s="3"/>
      <c r="AE31" s="3"/>
      <c r="AF31" s="3"/>
      <c r="AG31" s="3"/>
      <c r="AH31" s="3"/>
      <c r="AI31" s="3"/>
      <c r="AJ31" s="3"/>
      <c r="AK31" s="27">
        <v>7</v>
      </c>
      <c r="AL31" s="27"/>
      <c r="AM31" s="27"/>
      <c r="AN31" s="3"/>
      <c r="AO31" s="3"/>
      <c r="AP31" s="12" t="s">
        <v>68</v>
      </c>
      <c r="AQ31" s="3"/>
      <c r="AR31" s="3"/>
      <c r="AS31" s="12"/>
      <c r="AT31" s="12" t="s">
        <v>369</v>
      </c>
      <c r="AU31" s="12"/>
      <c r="AV31" s="12"/>
      <c r="AW31" s="12" t="s">
        <v>502</v>
      </c>
      <c r="AX31" s="3"/>
      <c r="AY31" s="3"/>
    </row>
    <row r="32" spans="1:51" ht="12.75">
      <c r="A32" s="5"/>
      <c r="B32" s="40" t="str">
        <f>IF(LEN(PlEnglTestPst)&gt;0,"","*")</f>
        <v>*</v>
      </c>
      <c r="C32" s="7"/>
      <c r="D32" s="7"/>
      <c r="E32" s="7"/>
      <c r="F32" s="40" t="str">
        <f>IF(LEN(PlEnglTestPst)&gt;0,"","*")</f>
        <v>*</v>
      </c>
      <c r="G32" s="7"/>
      <c r="H32" s="7"/>
      <c r="I32" s="7"/>
      <c r="J32" s="40" t="str">
        <f>IF(LEN(PlEnglTestPst)&gt;0,"","*")</f>
        <v>*</v>
      </c>
      <c r="K32" s="7"/>
      <c r="L32" s="7"/>
      <c r="M32" s="7"/>
      <c r="N32" s="165"/>
      <c r="O32" s="166"/>
      <c r="P32" s="7"/>
      <c r="Q32" s="7"/>
      <c r="R32" s="60" t="s">
        <v>345</v>
      </c>
      <c r="S32" s="60">
        <v>29</v>
      </c>
      <c r="T32" s="61">
        <v>5</v>
      </c>
      <c r="U32" s="3"/>
      <c r="V32" s="3"/>
      <c r="W32" s="12" t="s">
        <v>539</v>
      </c>
      <c r="X32" s="12" t="s">
        <v>399</v>
      </c>
      <c r="Y32" s="12"/>
      <c r="Z32" s="12" t="s">
        <v>451</v>
      </c>
      <c r="AA32" s="46">
        <v>29</v>
      </c>
      <c r="AB32" s="46">
        <v>6</v>
      </c>
      <c r="AC32" s="52"/>
      <c r="AD32" s="3"/>
      <c r="AE32" s="3"/>
      <c r="AF32" s="3"/>
      <c r="AG32" s="3"/>
      <c r="AH32" s="3"/>
      <c r="AI32" s="3"/>
      <c r="AJ32" s="3"/>
      <c r="AK32" s="27" t="s">
        <v>373</v>
      </c>
      <c r="AL32" s="27" t="s">
        <v>391</v>
      </c>
      <c r="AM32" s="27"/>
      <c r="AN32" s="3"/>
      <c r="AO32" s="3"/>
      <c r="AP32" s="12" t="s">
        <v>69</v>
      </c>
      <c r="AQ32" s="3"/>
      <c r="AR32" s="3"/>
      <c r="AS32" s="12" t="s">
        <v>516</v>
      </c>
      <c r="AT32" s="3"/>
      <c r="AU32" s="3"/>
      <c r="AV32" s="3"/>
      <c r="AW32" s="12" t="s">
        <v>503</v>
      </c>
      <c r="AX32" s="3"/>
      <c r="AY32" s="3"/>
    </row>
    <row r="33" spans="1:51" ht="13.5" thickBot="1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67"/>
      <c r="O33" s="168"/>
      <c r="P33" s="7"/>
      <c r="Q33" s="7"/>
      <c r="R33" s="60" t="s">
        <v>483</v>
      </c>
      <c r="S33" s="60">
        <v>30</v>
      </c>
      <c r="T33" s="61">
        <v>5</v>
      </c>
      <c r="U33" s="3"/>
      <c r="V33" s="3"/>
      <c r="W33" s="12" t="s">
        <v>540</v>
      </c>
      <c r="X33" s="12"/>
      <c r="Y33" s="12"/>
      <c r="Z33" s="12" t="s">
        <v>343</v>
      </c>
      <c r="AA33" s="46">
        <v>30</v>
      </c>
      <c r="AB33" s="46">
        <v>6</v>
      </c>
      <c r="AC33" s="52"/>
      <c r="AD33" s="3"/>
      <c r="AE33" s="3"/>
      <c r="AF33" s="3"/>
      <c r="AG33" s="3"/>
      <c r="AH33" s="3"/>
      <c r="AI33" s="3"/>
      <c r="AJ33" s="3"/>
      <c r="AK33" s="27" t="s">
        <v>372</v>
      </c>
      <c r="AL33" s="27" t="s">
        <v>391</v>
      </c>
      <c r="AM33" s="27"/>
      <c r="AN33" s="3"/>
      <c r="AO33" s="3"/>
      <c r="AP33" s="12" t="s">
        <v>70</v>
      </c>
      <c r="AQ33" s="3"/>
      <c r="AR33" s="3"/>
      <c r="AS33" s="12"/>
      <c r="AT33" s="3"/>
      <c r="AU33" s="3"/>
      <c r="AV33" s="3"/>
      <c r="AW33" s="12" t="s">
        <v>504</v>
      </c>
      <c r="AX33" s="3"/>
      <c r="AY33" s="3"/>
    </row>
    <row r="34" spans="1:51" ht="18.75" thickTop="1">
      <c r="A34" s="5"/>
      <c r="B34" s="8" t="s">
        <v>663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6" t="s">
        <v>625</v>
      </c>
      <c r="N34" s="7"/>
      <c r="O34" s="40"/>
      <c r="P34" s="40"/>
      <c r="Q34" s="40"/>
      <c r="R34" s="60" t="s">
        <v>347</v>
      </c>
      <c r="S34" s="60">
        <v>85</v>
      </c>
      <c r="T34" s="61" t="s">
        <v>460</v>
      </c>
      <c r="U34" s="3"/>
      <c r="V34" s="3"/>
      <c r="W34" s="12" t="s">
        <v>541</v>
      </c>
      <c r="X34" s="1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27" t="s">
        <v>380</v>
      </c>
      <c r="AO34" s="3"/>
      <c r="AP34" s="3"/>
      <c r="AQ34" s="3"/>
      <c r="AR34" s="3"/>
      <c r="AS34" s="12" t="s">
        <v>88</v>
      </c>
      <c r="AT34" s="3"/>
      <c r="AU34" s="3"/>
      <c r="AV34" s="3"/>
      <c r="AW34" s="3"/>
      <c r="AX34" s="3"/>
      <c r="AY34" s="3"/>
    </row>
    <row r="35" spans="1:51" ht="27.75" customHeight="1" thickBot="1">
      <c r="A35" s="5"/>
      <c r="B35" s="7"/>
      <c r="C35" s="7"/>
      <c r="D35" s="7"/>
      <c r="E35" s="17" t="s">
        <v>20</v>
      </c>
      <c r="F35" s="17" t="s">
        <v>1</v>
      </c>
      <c r="G35" s="17" t="s">
        <v>2</v>
      </c>
      <c r="H35" s="161" t="s">
        <v>3</v>
      </c>
      <c r="I35" s="162"/>
      <c r="J35" s="17" t="s">
        <v>4</v>
      </c>
      <c r="K35" s="189" t="s">
        <v>21</v>
      </c>
      <c r="L35" s="190"/>
      <c r="M35" s="161" t="s">
        <v>22</v>
      </c>
      <c r="N35" s="162"/>
      <c r="O35" s="40"/>
      <c r="P35" s="40"/>
      <c r="Q35" s="40"/>
      <c r="R35" s="60" t="s">
        <v>348</v>
      </c>
      <c r="S35" s="60">
        <v>86</v>
      </c>
      <c r="T35" s="61" t="s">
        <v>460</v>
      </c>
      <c r="U35" s="3"/>
      <c r="V35" s="3"/>
      <c r="W35" s="12" t="s">
        <v>542</v>
      </c>
      <c r="X35" s="12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27" t="s">
        <v>371</v>
      </c>
      <c r="AO35" s="3"/>
      <c r="AP35" s="3"/>
      <c r="AQ35" s="3"/>
      <c r="AR35" s="3"/>
      <c r="AS35" s="12" t="s">
        <v>89</v>
      </c>
      <c r="AT35" s="3"/>
      <c r="AU35" s="3"/>
      <c r="AV35" s="3"/>
      <c r="AW35" s="3"/>
      <c r="AX35" s="3"/>
      <c r="AY35" s="3"/>
    </row>
    <row r="36" spans="1:51" ht="13.5" thickBot="1">
      <c r="A36" s="5"/>
      <c r="B36" s="7"/>
      <c r="C36" s="7" t="s">
        <v>653</v>
      </c>
      <c r="D36" s="7"/>
      <c r="E36" s="85" t="s">
        <v>433</v>
      </c>
      <c r="F36" s="91">
        <v>143344</v>
      </c>
      <c r="G36" s="86">
        <v>40696</v>
      </c>
      <c r="H36" s="187" t="s">
        <v>632</v>
      </c>
      <c r="I36" s="188"/>
      <c r="J36" s="87">
        <v>42522</v>
      </c>
      <c r="K36" s="191" t="s">
        <v>14</v>
      </c>
      <c r="L36" s="192"/>
      <c r="M36" s="120" t="s">
        <v>632</v>
      </c>
      <c r="N36" s="121"/>
      <c r="O36" s="40" t="s">
        <v>391</v>
      </c>
      <c r="P36" s="68">
        <f>LEN(E36&amp;F36&amp;G36&amp;H36)*LEN(J36)</f>
        <v>125</v>
      </c>
      <c r="Q36" s="69">
        <f>P36+P37+P38+P39</f>
        <v>250</v>
      </c>
      <c r="R36" s="60" t="s">
        <v>349</v>
      </c>
      <c r="S36" s="60">
        <v>87</v>
      </c>
      <c r="T36" s="61" t="s">
        <v>460</v>
      </c>
      <c r="U36" s="3"/>
      <c r="V36" s="3"/>
      <c r="W36" s="12" t="s">
        <v>543</v>
      </c>
      <c r="X36" s="12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7" t="s">
        <v>370</v>
      </c>
      <c r="AO36" s="3"/>
      <c r="AP36" s="3"/>
      <c r="AQ36" s="3"/>
      <c r="AR36" s="3"/>
      <c r="AS36" s="12" t="s">
        <v>86</v>
      </c>
      <c r="AT36" s="3"/>
      <c r="AU36" s="3"/>
      <c r="AV36" s="3"/>
      <c r="AW36" s="3"/>
      <c r="AX36" s="3"/>
      <c r="AY36" s="3"/>
    </row>
    <row r="37" spans="1:51" ht="13.5" thickBot="1">
      <c r="A37" s="5"/>
      <c r="B37" s="7"/>
      <c r="C37" s="7" t="s">
        <v>628</v>
      </c>
      <c r="D37" s="7"/>
      <c r="E37" s="114" t="s">
        <v>400</v>
      </c>
      <c r="F37" s="36" t="s">
        <v>654</v>
      </c>
      <c r="G37" s="37">
        <v>40744</v>
      </c>
      <c r="H37" s="181" t="s">
        <v>632</v>
      </c>
      <c r="I37" s="182"/>
      <c r="J37" s="38"/>
      <c r="K37" s="191" t="s">
        <v>14</v>
      </c>
      <c r="L37" s="192"/>
      <c r="M37" s="120" t="s">
        <v>632</v>
      </c>
      <c r="N37" s="121"/>
      <c r="O37" s="40">
        <f>IF(ISBLANK(K37),"RU",LOOKUP(K37,PlContries,PlContriesID))</f>
        <v>0</v>
      </c>
      <c r="P37" s="68">
        <f>LEN(E37&amp;F37&amp;G37&amp;H37)*LEN(J37)</f>
        <v>0</v>
      </c>
      <c r="Q37" s="70"/>
      <c r="R37" s="60" t="s">
        <v>350</v>
      </c>
      <c r="S37" s="60">
        <v>88</v>
      </c>
      <c r="T37" s="61" t="s">
        <v>460</v>
      </c>
      <c r="U37" s="3"/>
      <c r="V37" s="3"/>
      <c r="W37" s="12" t="s">
        <v>544</v>
      </c>
      <c r="X37" s="12" t="s">
        <v>401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7">
        <v>11</v>
      </c>
      <c r="AO37" s="3"/>
      <c r="AP37" s="3"/>
      <c r="AQ37" s="3"/>
      <c r="AR37" s="3"/>
      <c r="AS37" s="12" t="s">
        <v>80</v>
      </c>
      <c r="AT37" s="3"/>
      <c r="AU37" s="3"/>
      <c r="AV37" s="3"/>
      <c r="AW37" s="3"/>
      <c r="AX37" s="3"/>
      <c r="AY37" s="3"/>
    </row>
    <row r="38" spans="1:51" ht="13.5" thickBot="1">
      <c r="A38" s="5"/>
      <c r="B38" s="7"/>
      <c r="C38" s="7" t="s">
        <v>626</v>
      </c>
      <c r="D38" s="7"/>
      <c r="E38" s="82" t="s">
        <v>636</v>
      </c>
      <c r="F38" s="92">
        <v>278400</v>
      </c>
      <c r="G38" s="83">
        <v>38315</v>
      </c>
      <c r="H38" s="193" t="s">
        <v>632</v>
      </c>
      <c r="I38" s="194"/>
      <c r="J38" s="84"/>
      <c r="K38" s="191" t="s">
        <v>14</v>
      </c>
      <c r="L38" s="192"/>
      <c r="M38" s="120" t="s">
        <v>632</v>
      </c>
      <c r="N38" s="121"/>
      <c r="O38" s="40" t="s">
        <v>391</v>
      </c>
      <c r="P38" s="68">
        <f>LEN(E38&amp;F38&amp;G38&amp;H38)*LEN(J38)</f>
        <v>0</v>
      </c>
      <c r="Q38" s="70"/>
      <c r="R38" s="60" t="s">
        <v>344</v>
      </c>
      <c r="S38" s="60">
        <v>89</v>
      </c>
      <c r="T38" s="61" t="s">
        <v>462</v>
      </c>
      <c r="U38" s="3"/>
      <c r="V38" s="3"/>
      <c r="W38" s="12" t="s">
        <v>545</v>
      </c>
      <c r="X38" s="12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27" t="s">
        <v>381</v>
      </c>
      <c r="AO38" s="3"/>
      <c r="AP38" s="3"/>
      <c r="AQ38" s="3"/>
      <c r="AR38" s="3"/>
      <c r="AS38" s="12" t="s">
        <v>84</v>
      </c>
      <c r="AT38" s="3"/>
      <c r="AU38" s="3"/>
      <c r="AV38" s="3"/>
      <c r="AW38" s="3"/>
      <c r="AX38" s="3"/>
      <c r="AY38" s="3"/>
    </row>
    <row r="39" spans="1:51" ht="13.5" thickBot="1">
      <c r="A39" s="5"/>
      <c r="B39" s="7"/>
      <c r="C39" s="7" t="s">
        <v>627</v>
      </c>
      <c r="D39" s="7"/>
      <c r="E39" s="85">
        <v>71</v>
      </c>
      <c r="F39" s="91">
        <v>2609437</v>
      </c>
      <c r="G39" s="86">
        <v>40512</v>
      </c>
      <c r="H39" s="187" t="s">
        <v>632</v>
      </c>
      <c r="I39" s="188"/>
      <c r="J39" s="87">
        <v>44165</v>
      </c>
      <c r="K39" s="191" t="s">
        <v>14</v>
      </c>
      <c r="L39" s="192"/>
      <c r="M39" s="120" t="s">
        <v>632</v>
      </c>
      <c r="N39" s="121"/>
      <c r="O39" s="40" t="s">
        <v>391</v>
      </c>
      <c r="P39" s="68">
        <f>LEN(E39&amp;F39&amp;G39&amp;H39)*LEN(J39)</f>
        <v>125</v>
      </c>
      <c r="Q39" s="70"/>
      <c r="R39" s="60" t="s">
        <v>345</v>
      </c>
      <c r="S39" s="60">
        <v>90</v>
      </c>
      <c r="T39" s="61" t="s">
        <v>462</v>
      </c>
      <c r="U39" s="3"/>
      <c r="V39" s="3"/>
      <c r="W39" s="12" t="s">
        <v>546</v>
      </c>
      <c r="X39" s="1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27">
        <v>12</v>
      </c>
      <c r="AO39" s="3"/>
      <c r="AP39" s="3"/>
      <c r="AQ39" s="3"/>
      <c r="AR39" s="3"/>
      <c r="AS39" s="12" t="s">
        <v>83</v>
      </c>
      <c r="AT39" s="3"/>
      <c r="AU39" s="3"/>
      <c r="AV39" s="3"/>
      <c r="AW39" s="3"/>
      <c r="AX39" s="3"/>
      <c r="AY39" s="3"/>
    </row>
    <row r="40" spans="1:51" ht="12.7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0"/>
      <c r="P40" s="40"/>
      <c r="Q40" s="40"/>
      <c r="R40" s="60" t="s">
        <v>351</v>
      </c>
      <c r="S40" s="60">
        <v>91</v>
      </c>
      <c r="T40" s="61" t="s">
        <v>462</v>
      </c>
      <c r="U40" s="3"/>
      <c r="V40" s="3"/>
      <c r="W40" s="12" t="s">
        <v>547</v>
      </c>
      <c r="X40" s="12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7" t="s">
        <v>464</v>
      </c>
      <c r="AO40" s="3"/>
      <c r="AP40" s="3"/>
      <c r="AQ40" s="3"/>
      <c r="AR40" s="3"/>
      <c r="AS40" s="12" t="s">
        <v>85</v>
      </c>
      <c r="AT40" s="3"/>
      <c r="AU40" s="3"/>
      <c r="AV40" s="3"/>
      <c r="AW40" s="3"/>
      <c r="AX40" s="3"/>
      <c r="AY40" s="3"/>
    </row>
    <row r="41" spans="1:51" ht="12.75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40"/>
      <c r="P41" s="40"/>
      <c r="Q41" s="40"/>
      <c r="R41" s="60"/>
      <c r="S41" s="60"/>
      <c r="T41" s="61"/>
      <c r="U41" s="3"/>
      <c r="V41" s="3"/>
      <c r="W41" s="12"/>
      <c r="X41" s="12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27"/>
      <c r="AO41" s="3"/>
      <c r="AP41" s="3"/>
      <c r="AQ41" s="3"/>
      <c r="AR41" s="3"/>
      <c r="AS41" s="12"/>
      <c r="AT41" s="3"/>
      <c r="AU41" s="3"/>
      <c r="AV41" s="3"/>
      <c r="AW41" s="3"/>
      <c r="AX41" s="3"/>
      <c r="AY41" s="3"/>
    </row>
    <row r="42" spans="1:51" ht="12.75">
      <c r="A42" s="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0"/>
      <c r="P42" s="40"/>
      <c r="Q42" s="40"/>
      <c r="R42" s="60"/>
      <c r="S42" s="60"/>
      <c r="T42" s="61"/>
      <c r="U42" s="3"/>
      <c r="V42" s="3"/>
      <c r="W42" s="12"/>
      <c r="X42" s="12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27"/>
      <c r="AO42" s="3"/>
      <c r="AP42" s="3"/>
      <c r="AQ42" s="3"/>
      <c r="AR42" s="3"/>
      <c r="AS42" s="12"/>
      <c r="AT42" s="3"/>
      <c r="AU42" s="3"/>
      <c r="AV42" s="3"/>
      <c r="AW42" s="3"/>
      <c r="AX42" s="3"/>
      <c r="AY42" s="3"/>
    </row>
    <row r="43" spans="1:51" ht="12.75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0"/>
      <c r="P43" s="40"/>
      <c r="Q43" s="40"/>
      <c r="R43" s="60" t="s">
        <v>346</v>
      </c>
      <c r="S43" s="60">
        <v>92</v>
      </c>
      <c r="T43" s="61" t="s">
        <v>462</v>
      </c>
      <c r="U43" s="3"/>
      <c r="V43" s="3"/>
      <c r="W43" s="12" t="s">
        <v>548</v>
      </c>
      <c r="X43" s="12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27">
        <v>13</v>
      </c>
      <c r="AO43" s="3"/>
      <c r="AP43" s="3"/>
      <c r="AQ43" s="3"/>
      <c r="AR43" s="3"/>
      <c r="AS43" s="12" t="s">
        <v>521</v>
      </c>
      <c r="AT43" s="3"/>
      <c r="AU43" s="3"/>
      <c r="AV43" s="3"/>
      <c r="AW43" s="3"/>
      <c r="AX43" s="3"/>
      <c r="AY43" s="3"/>
    </row>
    <row r="44" spans="1:51" ht="18">
      <c r="A44" s="5"/>
      <c r="B44" s="8" t="s">
        <v>664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3"/>
      <c r="P44" s="43"/>
      <c r="Q44" s="51"/>
      <c r="R44" s="60" t="s">
        <v>601</v>
      </c>
      <c r="S44" s="60">
        <v>93</v>
      </c>
      <c r="T44" s="61" t="s">
        <v>462</v>
      </c>
      <c r="U44" s="3"/>
      <c r="V44" s="3"/>
      <c r="W44" s="12" t="s">
        <v>549</v>
      </c>
      <c r="X44" s="12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27" t="s">
        <v>465</v>
      </c>
      <c r="AO44" s="3"/>
      <c r="AP44" s="3"/>
      <c r="AQ44" s="3"/>
      <c r="AR44" s="3"/>
      <c r="AS44" s="12" t="s">
        <v>90</v>
      </c>
      <c r="AT44" s="3"/>
      <c r="AU44" s="3"/>
      <c r="AV44" s="3"/>
      <c r="AW44" s="3"/>
      <c r="AX44" s="3"/>
      <c r="AY44" s="3"/>
    </row>
    <row r="45" spans="1:45" ht="26.25" customHeight="1" thickBot="1">
      <c r="A45" s="5"/>
      <c r="B45" s="7"/>
      <c r="C45" s="7"/>
      <c r="D45" s="7"/>
      <c r="E45" s="7"/>
      <c r="F45" s="7"/>
      <c r="G45" s="204" t="s">
        <v>445</v>
      </c>
      <c r="H45" s="205"/>
      <c r="I45" s="18" t="s">
        <v>1</v>
      </c>
      <c r="J45" s="18" t="s">
        <v>2</v>
      </c>
      <c r="K45" s="111" t="s">
        <v>3</v>
      </c>
      <c r="L45" s="18" t="s">
        <v>4</v>
      </c>
      <c r="M45" s="122" t="s">
        <v>471</v>
      </c>
      <c r="N45" s="123"/>
      <c r="O45" s="110" t="s">
        <v>505</v>
      </c>
      <c r="P45" s="110" t="s">
        <v>474</v>
      </c>
      <c r="Q45" s="18" t="s">
        <v>474</v>
      </c>
      <c r="R45" s="12" t="s">
        <v>402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27" t="s">
        <v>466</v>
      </c>
      <c r="AI45" s="3"/>
      <c r="AJ45" s="3"/>
      <c r="AK45" s="3"/>
      <c r="AL45" s="3"/>
      <c r="AM45" s="12" t="s">
        <v>92</v>
      </c>
      <c r="AN45" s="3"/>
      <c r="AO45" s="3"/>
      <c r="AP45" s="3"/>
      <c r="AQ45" s="3"/>
      <c r="AR45" s="3"/>
      <c r="AS45" s="3"/>
    </row>
    <row r="46" spans="1:45" ht="26.25" customHeight="1" thickBot="1">
      <c r="A46" s="71">
        <f>IF(ISBLANK(PlDiplomType),"",LOOKUP(PlDiplomType,PLLicences,PlLicCodes))</f>
        <v>22</v>
      </c>
      <c r="B46" s="200" t="s">
        <v>0</v>
      </c>
      <c r="C46" s="201"/>
      <c r="D46" s="208" t="s">
        <v>655</v>
      </c>
      <c r="E46" s="209"/>
      <c r="F46" s="209"/>
      <c r="G46" s="209"/>
      <c r="H46" s="210"/>
      <c r="I46" s="93">
        <v>1021304101</v>
      </c>
      <c r="J46" s="88">
        <v>40311</v>
      </c>
      <c r="K46" s="112" t="s">
        <v>632</v>
      </c>
      <c r="L46" s="88">
        <v>42124</v>
      </c>
      <c r="M46" s="124" t="s">
        <v>470</v>
      </c>
      <c r="N46" s="125"/>
      <c r="O46" s="109" t="s">
        <v>473</v>
      </c>
      <c r="P46" s="109" t="s">
        <v>353</v>
      </c>
      <c r="Q46" s="79" t="s">
        <v>475</v>
      </c>
      <c r="R46" s="12" t="s">
        <v>403</v>
      </c>
      <c r="S46" s="41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27">
        <v>14</v>
      </c>
      <c r="AI46" s="3"/>
      <c r="AJ46" s="3"/>
      <c r="AK46" s="3"/>
      <c r="AL46" s="3"/>
      <c r="AM46" s="12" t="s">
        <v>91</v>
      </c>
      <c r="AN46" s="3"/>
      <c r="AO46" s="3"/>
      <c r="AP46" s="3"/>
      <c r="AQ46" s="3"/>
      <c r="AR46" s="3"/>
      <c r="AS46" s="3"/>
    </row>
    <row r="47" spans="1:45" ht="26.25" customHeight="1" thickBot="1">
      <c r="A47" s="72">
        <v>35</v>
      </c>
      <c r="B47" s="7"/>
      <c r="C47" s="11"/>
      <c r="D47" s="40" t="str">
        <f>"National Endorsement: "&amp;D46</f>
        <v>National Endorsement: 2nd CLASS ENGINEER cat.A</v>
      </c>
      <c r="E47" s="7"/>
      <c r="F47" s="11" t="s">
        <v>25</v>
      </c>
      <c r="G47" s="206" t="s">
        <v>439</v>
      </c>
      <c r="H47" s="207"/>
      <c r="I47" s="96">
        <v>1021304101</v>
      </c>
      <c r="J47" s="88">
        <v>40311</v>
      </c>
      <c r="K47" s="108" t="s">
        <v>632</v>
      </c>
      <c r="L47" s="88">
        <v>42124</v>
      </c>
      <c r="M47" s="124" t="s">
        <v>470</v>
      </c>
      <c r="N47" s="125"/>
      <c r="O47" s="109" t="s">
        <v>473</v>
      </c>
      <c r="P47" s="109" t="s">
        <v>353</v>
      </c>
      <c r="Q47" s="79" t="s">
        <v>475</v>
      </c>
      <c r="R47" s="12" t="s">
        <v>404</v>
      </c>
      <c r="S47" s="41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27" t="s">
        <v>467</v>
      </c>
      <c r="AI47" s="3"/>
      <c r="AJ47" s="3"/>
      <c r="AK47" s="3"/>
      <c r="AL47" s="3"/>
      <c r="AM47" s="12" t="s">
        <v>520</v>
      </c>
      <c r="AN47" s="3"/>
      <c r="AO47" s="3"/>
      <c r="AP47" s="3"/>
      <c r="AQ47" s="3"/>
      <c r="AR47" s="3"/>
      <c r="AS47" s="3"/>
    </row>
    <row r="48" spans="1:46" ht="13.5" thickBot="1">
      <c r="A48" s="5"/>
      <c r="B48" s="195" t="s">
        <v>656</v>
      </c>
      <c r="C48" s="196"/>
      <c r="D48" s="196"/>
      <c r="E48" s="197"/>
      <c r="F48" s="19" t="s">
        <v>1</v>
      </c>
      <c r="G48" s="19" t="s">
        <v>2</v>
      </c>
      <c r="H48" s="202" t="s">
        <v>3</v>
      </c>
      <c r="I48" s="203"/>
      <c r="J48" s="19" t="s">
        <v>49</v>
      </c>
      <c r="K48" s="19" t="s">
        <v>5</v>
      </c>
      <c r="L48" s="43"/>
      <c r="M48" s="44"/>
      <c r="N48" s="44"/>
      <c r="O48" s="65"/>
      <c r="P48" s="65"/>
      <c r="Q48" s="65"/>
      <c r="R48" s="12" t="s">
        <v>551</v>
      </c>
      <c r="S48" s="12" t="s">
        <v>405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27" t="s">
        <v>453</v>
      </c>
      <c r="AJ48" s="3"/>
      <c r="AK48" s="3"/>
      <c r="AL48" s="3"/>
      <c r="AM48" s="3"/>
      <c r="AN48" s="12" t="s">
        <v>515</v>
      </c>
      <c r="AO48" s="3"/>
      <c r="AP48" s="3"/>
      <c r="AQ48" s="3"/>
      <c r="AR48" s="3"/>
      <c r="AS48" s="3"/>
      <c r="AT48" s="3"/>
    </row>
    <row r="49" spans="1:46" ht="27.75" customHeight="1" thickBot="1">
      <c r="A49" s="5"/>
      <c r="B49" s="128" t="s">
        <v>446</v>
      </c>
      <c r="C49" s="129"/>
      <c r="D49" s="129"/>
      <c r="E49" s="130"/>
      <c r="F49" s="94">
        <v>249624</v>
      </c>
      <c r="G49" s="89">
        <v>40298</v>
      </c>
      <c r="H49" s="198" t="s">
        <v>506</v>
      </c>
      <c r="I49" s="199"/>
      <c r="J49" s="89">
        <v>42124</v>
      </c>
      <c r="K49" s="97" t="s">
        <v>14</v>
      </c>
      <c r="L49" s="43"/>
      <c r="M49" s="43"/>
      <c r="N49" s="66">
        <f aca="true" t="shared" si="0" ref="N49:N54">LEN(F49)*LEN(G49)*LEN(H49)</f>
        <v>780</v>
      </c>
      <c r="O49" s="65">
        <f aca="true" t="shared" si="1" ref="O49:O56">IF((N49)&gt;0,"","*")</f>
      </c>
      <c r="P49" s="7"/>
      <c r="Q49" s="7"/>
      <c r="R49" s="12" t="s">
        <v>553</v>
      </c>
      <c r="S49" s="12" t="s">
        <v>407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27" t="s">
        <v>454</v>
      </c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33" customHeight="1" thickBot="1">
      <c r="A50" s="5"/>
      <c r="B50" s="128" t="s">
        <v>447</v>
      </c>
      <c r="C50" s="129"/>
      <c r="D50" s="129"/>
      <c r="E50" s="130"/>
      <c r="F50" s="94">
        <v>204173</v>
      </c>
      <c r="G50" s="89">
        <v>40298</v>
      </c>
      <c r="H50" s="198" t="s">
        <v>506</v>
      </c>
      <c r="I50" s="199"/>
      <c r="J50" s="89">
        <v>42124</v>
      </c>
      <c r="K50" s="90" t="s">
        <v>14</v>
      </c>
      <c r="L50" s="43"/>
      <c r="M50" s="43"/>
      <c r="N50" s="66">
        <f t="shared" si="0"/>
        <v>780</v>
      </c>
      <c r="O50" s="65">
        <f t="shared" si="1"/>
      </c>
      <c r="P50" s="7"/>
      <c r="Q50" s="7"/>
      <c r="R50" s="12" t="s">
        <v>554</v>
      </c>
      <c r="S50" s="12" t="s">
        <v>408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27" t="s">
        <v>455</v>
      </c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24" customHeight="1" thickBot="1">
      <c r="A51" s="5"/>
      <c r="B51" s="128" t="s">
        <v>448</v>
      </c>
      <c r="C51" s="129"/>
      <c r="D51" s="129"/>
      <c r="E51" s="130"/>
      <c r="F51" s="94">
        <v>109283</v>
      </c>
      <c r="G51" s="89">
        <v>40298</v>
      </c>
      <c r="H51" s="198" t="s">
        <v>506</v>
      </c>
      <c r="I51" s="199"/>
      <c r="J51" s="89">
        <v>42124</v>
      </c>
      <c r="K51" s="80" t="s">
        <v>14</v>
      </c>
      <c r="L51" s="43"/>
      <c r="M51" s="43"/>
      <c r="N51" s="66">
        <f t="shared" si="0"/>
        <v>780</v>
      </c>
      <c r="O51" s="65">
        <f t="shared" si="1"/>
      </c>
      <c r="P51" s="7"/>
      <c r="Q51" s="7"/>
      <c r="R51" s="12" t="s">
        <v>555</v>
      </c>
      <c r="S51" s="12" t="s">
        <v>409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27" t="s">
        <v>510</v>
      </c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25.5" customHeight="1" thickBot="1">
      <c r="A52" s="5"/>
      <c r="B52" s="128" t="s">
        <v>459</v>
      </c>
      <c r="C52" s="129"/>
      <c r="D52" s="129"/>
      <c r="E52" s="130"/>
      <c r="F52" s="95">
        <v>124966</v>
      </c>
      <c r="G52" s="39">
        <v>40304</v>
      </c>
      <c r="H52" s="198" t="s">
        <v>506</v>
      </c>
      <c r="I52" s="199"/>
      <c r="J52" s="62">
        <v>42130</v>
      </c>
      <c r="K52" s="80" t="s">
        <v>14</v>
      </c>
      <c r="L52" s="43"/>
      <c r="M52" s="43"/>
      <c r="N52" s="66">
        <f t="shared" si="0"/>
        <v>780</v>
      </c>
      <c r="O52" s="65">
        <f t="shared" si="1"/>
      </c>
      <c r="P52" s="7"/>
      <c r="Q52" s="7"/>
      <c r="R52" s="12" t="s">
        <v>556</v>
      </c>
      <c r="S52" s="12" t="s">
        <v>410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27" t="s">
        <v>456</v>
      </c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39.75" customHeight="1" thickBot="1">
      <c r="A53" s="5"/>
      <c r="B53" s="128" t="s">
        <v>449</v>
      </c>
      <c r="C53" s="129"/>
      <c r="D53" s="129"/>
      <c r="E53" s="130"/>
      <c r="F53" s="95">
        <v>44705</v>
      </c>
      <c r="G53" s="39">
        <v>40298</v>
      </c>
      <c r="H53" s="198" t="s">
        <v>506</v>
      </c>
      <c r="I53" s="199"/>
      <c r="J53" s="62">
        <v>42124</v>
      </c>
      <c r="K53" s="80" t="s">
        <v>14</v>
      </c>
      <c r="L53" s="43"/>
      <c r="M53" s="43"/>
      <c r="N53" s="66">
        <f t="shared" si="0"/>
        <v>650</v>
      </c>
      <c r="O53" s="65">
        <f t="shared" si="1"/>
      </c>
      <c r="P53" s="7"/>
      <c r="Q53" s="7"/>
      <c r="R53" s="12" t="s">
        <v>557</v>
      </c>
      <c r="S53" s="12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27" t="s">
        <v>512</v>
      </c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60" customHeight="1" thickBot="1">
      <c r="A54" s="5"/>
      <c r="B54" s="128" t="s">
        <v>50</v>
      </c>
      <c r="C54" s="129"/>
      <c r="D54" s="129"/>
      <c r="E54" s="130"/>
      <c r="F54" s="95">
        <v>44955</v>
      </c>
      <c r="G54" s="39">
        <v>40298</v>
      </c>
      <c r="H54" s="136" t="s">
        <v>506</v>
      </c>
      <c r="I54" s="137"/>
      <c r="J54" s="62">
        <v>42124</v>
      </c>
      <c r="K54" s="80" t="s">
        <v>14</v>
      </c>
      <c r="L54" s="43"/>
      <c r="M54" s="43"/>
      <c r="N54" s="66">
        <f t="shared" si="0"/>
        <v>650</v>
      </c>
      <c r="O54" s="65">
        <f t="shared" si="1"/>
      </c>
      <c r="P54" s="7"/>
      <c r="Q54" s="7"/>
      <c r="R54" s="12" t="s">
        <v>558</v>
      </c>
      <c r="S54" s="12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27" t="s">
        <v>457</v>
      </c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5" customHeight="1" thickBot="1">
      <c r="A55" s="5"/>
      <c r="B55" s="128" t="s">
        <v>23</v>
      </c>
      <c r="C55" s="129"/>
      <c r="D55" s="129"/>
      <c r="E55" s="130"/>
      <c r="F55" s="28"/>
      <c r="G55" s="89">
        <v>38722</v>
      </c>
      <c r="H55" s="134" t="s">
        <v>632</v>
      </c>
      <c r="I55" s="135"/>
      <c r="J55" s="89">
        <v>42384</v>
      </c>
      <c r="K55" s="80" t="s">
        <v>14</v>
      </c>
      <c r="L55" s="43"/>
      <c r="M55" s="43"/>
      <c r="N55" s="67">
        <f>LEN(G55)</f>
        <v>5</v>
      </c>
      <c r="O55" s="65">
        <f t="shared" si="1"/>
      </c>
      <c r="P55" s="7"/>
      <c r="Q55" s="7"/>
      <c r="R55" s="12" t="s">
        <v>560</v>
      </c>
      <c r="S55" s="12" t="s">
        <v>411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5" customHeight="1" thickBot="1">
      <c r="A56" s="5"/>
      <c r="B56" s="128" t="s">
        <v>24</v>
      </c>
      <c r="C56" s="129"/>
      <c r="D56" s="129"/>
      <c r="E56" s="130"/>
      <c r="F56" s="28"/>
      <c r="G56" s="39"/>
      <c r="H56" s="136"/>
      <c r="I56" s="137"/>
      <c r="J56" s="62"/>
      <c r="K56" s="80"/>
      <c r="L56" s="43"/>
      <c r="M56" s="43"/>
      <c r="N56" s="67">
        <f>LEN(G56)</f>
        <v>0</v>
      </c>
      <c r="O56" s="65" t="str">
        <f t="shared" si="1"/>
        <v>*</v>
      </c>
      <c r="P56" s="7"/>
      <c r="Q56" s="7"/>
      <c r="R56" s="12" t="s">
        <v>561</v>
      </c>
      <c r="S56" s="12" t="s">
        <v>412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51" ht="15" customHeight="1">
      <c r="A57" s="5"/>
      <c r="B57" s="59"/>
      <c r="C57" s="59"/>
      <c r="D57" s="59"/>
      <c r="E57" s="59"/>
      <c r="F57" s="59"/>
      <c r="G57" s="98"/>
      <c r="H57" s="98"/>
      <c r="I57" s="98"/>
      <c r="J57" s="98"/>
      <c r="K57" s="7"/>
      <c r="L57" s="7"/>
      <c r="M57" s="7"/>
      <c r="N57" s="7"/>
      <c r="O57" s="7"/>
      <c r="P57" s="7"/>
      <c r="Q57" s="43"/>
      <c r="R57" s="3"/>
      <c r="S57" s="3"/>
      <c r="T57" s="3"/>
      <c r="U57" s="7"/>
      <c r="V57" s="3"/>
      <c r="W57" s="12"/>
      <c r="X57" s="12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15" customHeight="1">
      <c r="A58" s="5"/>
      <c r="B58" s="59"/>
      <c r="C58" s="59"/>
      <c r="D58" s="59"/>
      <c r="E58" s="59"/>
      <c r="F58" s="59"/>
      <c r="G58" s="98"/>
      <c r="H58" s="98"/>
      <c r="I58" s="98"/>
      <c r="J58" s="98"/>
      <c r="K58" s="7"/>
      <c r="L58" s="7"/>
      <c r="M58" s="7"/>
      <c r="N58" s="7"/>
      <c r="O58" s="7"/>
      <c r="P58" s="7"/>
      <c r="Q58" s="43"/>
      <c r="R58" s="3"/>
      <c r="S58" s="3"/>
      <c r="T58" s="3"/>
      <c r="U58" s="7"/>
      <c r="V58" s="3"/>
      <c r="W58" s="12"/>
      <c r="X58" s="12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18">
      <c r="A59" s="22"/>
      <c r="B59" s="8" t="s">
        <v>665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/>
      <c r="S59" s="3"/>
      <c r="T59" s="3"/>
      <c r="U59" s="3"/>
      <c r="V59" s="3"/>
      <c r="W59" s="12" t="s">
        <v>564</v>
      </c>
      <c r="X59" s="12" t="s">
        <v>414</v>
      </c>
      <c r="Y59" s="3"/>
      <c r="Z59" s="3"/>
      <c r="AA59" s="3"/>
      <c r="AB59" s="3"/>
      <c r="AC59" s="3"/>
      <c r="AD59" s="7"/>
      <c r="AE59" s="7"/>
      <c r="AF59" s="7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12.75" customHeight="1">
      <c r="A60" s="22"/>
      <c r="B60" s="8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"/>
      <c r="S60" s="3"/>
      <c r="T60" s="3"/>
      <c r="U60" s="3"/>
      <c r="V60" s="3"/>
      <c r="W60" s="12" t="s">
        <v>565</v>
      </c>
      <c r="X60" s="12" t="s">
        <v>413</v>
      </c>
      <c r="Y60" s="3"/>
      <c r="Z60" s="3"/>
      <c r="AA60" s="3"/>
      <c r="AB60" s="3"/>
      <c r="AC60" s="3"/>
      <c r="AD60" s="7"/>
      <c r="AE60" s="7"/>
      <c r="AF60" s="7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12.75" customHeight="1" thickBot="1">
      <c r="A61" s="22"/>
      <c r="B61" s="20" t="s">
        <v>42</v>
      </c>
      <c r="C61" s="20" t="s">
        <v>43</v>
      </c>
      <c r="D61" s="131" t="s">
        <v>6</v>
      </c>
      <c r="E61" s="131"/>
      <c r="F61" s="20" t="s">
        <v>7</v>
      </c>
      <c r="G61" s="20" t="s">
        <v>8</v>
      </c>
      <c r="H61" s="20" t="s">
        <v>9</v>
      </c>
      <c r="I61" s="20" t="s">
        <v>10</v>
      </c>
      <c r="J61" s="20" t="s">
        <v>11</v>
      </c>
      <c r="K61" s="132" t="s">
        <v>12</v>
      </c>
      <c r="L61" s="133"/>
      <c r="M61" s="131" t="s">
        <v>13</v>
      </c>
      <c r="N61" s="131"/>
      <c r="O61" s="131"/>
      <c r="P61" s="7"/>
      <c r="Q61" s="7"/>
      <c r="R61" s="3"/>
      <c r="S61" s="3"/>
      <c r="T61" s="3"/>
      <c r="U61" s="3"/>
      <c r="V61" s="3"/>
      <c r="W61" s="12" t="s">
        <v>566</v>
      </c>
      <c r="X61" s="12" t="s">
        <v>415</v>
      </c>
      <c r="Y61" s="3"/>
      <c r="Z61" s="3"/>
      <c r="AA61" s="3"/>
      <c r="AB61" s="3"/>
      <c r="AC61" s="3"/>
      <c r="AD61" s="7"/>
      <c r="AE61" s="7"/>
      <c r="AF61" s="7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15.75" customHeight="1" thickBot="1">
      <c r="A62" s="22"/>
      <c r="B62" s="99">
        <v>38790</v>
      </c>
      <c r="C62" s="100">
        <v>39330</v>
      </c>
      <c r="D62" s="142" t="s">
        <v>637</v>
      </c>
      <c r="E62" s="145"/>
      <c r="F62" s="101" t="s">
        <v>647</v>
      </c>
      <c r="G62" s="102" t="s">
        <v>14</v>
      </c>
      <c r="H62" s="103">
        <v>1267</v>
      </c>
      <c r="I62" s="101" t="s">
        <v>638</v>
      </c>
      <c r="J62" s="103">
        <v>2000</v>
      </c>
      <c r="K62" s="140" t="s">
        <v>639</v>
      </c>
      <c r="L62" s="141"/>
      <c r="M62" s="142" t="s">
        <v>640</v>
      </c>
      <c r="N62" s="143"/>
      <c r="O62" s="144"/>
      <c r="P62" s="7"/>
      <c r="Q62" s="7"/>
      <c r="R62" s="3"/>
      <c r="S62" s="3"/>
      <c r="T62" s="3"/>
      <c r="U62" s="3"/>
      <c r="V62" s="3"/>
      <c r="W62" s="12" t="s">
        <v>567</v>
      </c>
      <c r="X62" s="12"/>
      <c r="Y62" s="3"/>
      <c r="Z62" s="3"/>
      <c r="AA62" s="3"/>
      <c r="AB62" s="3"/>
      <c r="AC62" s="3"/>
      <c r="AD62" s="7"/>
      <c r="AE62" s="7"/>
      <c r="AF62" s="7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15.75" customHeight="1" thickBot="1">
      <c r="A63" s="22"/>
      <c r="B63" s="104">
        <v>39331</v>
      </c>
      <c r="C63" s="105">
        <v>40279</v>
      </c>
      <c r="D63" s="138" t="s">
        <v>637</v>
      </c>
      <c r="E63" s="139"/>
      <c r="F63" s="101" t="s">
        <v>647</v>
      </c>
      <c r="G63" s="102" t="s">
        <v>14</v>
      </c>
      <c r="H63" s="103">
        <v>1267</v>
      </c>
      <c r="I63" s="101" t="s">
        <v>638</v>
      </c>
      <c r="J63" s="103">
        <v>2000</v>
      </c>
      <c r="K63" s="140" t="s">
        <v>641</v>
      </c>
      <c r="L63" s="141"/>
      <c r="M63" s="142" t="s">
        <v>640</v>
      </c>
      <c r="N63" s="143"/>
      <c r="O63" s="144"/>
      <c r="P63" s="7"/>
      <c r="Q63" s="7"/>
      <c r="R63" s="3"/>
      <c r="S63" s="3"/>
      <c r="T63" s="3"/>
      <c r="U63" s="3"/>
      <c r="V63" s="3"/>
      <c r="W63" s="12" t="s">
        <v>568</v>
      </c>
      <c r="X63" s="12" t="s">
        <v>416</v>
      </c>
      <c r="Y63" s="3"/>
      <c r="Z63" s="3"/>
      <c r="AA63" s="3"/>
      <c r="AB63" s="3"/>
      <c r="AC63" s="3"/>
      <c r="AD63" s="7"/>
      <c r="AE63" s="7"/>
      <c r="AF63" s="7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15.75" customHeight="1" thickBot="1">
      <c r="A64" s="22"/>
      <c r="B64" s="104">
        <v>39524</v>
      </c>
      <c r="C64" s="105">
        <v>39650</v>
      </c>
      <c r="D64" s="138" t="s">
        <v>642</v>
      </c>
      <c r="E64" s="139"/>
      <c r="F64" s="102" t="s">
        <v>643</v>
      </c>
      <c r="G64" s="102" t="s">
        <v>14</v>
      </c>
      <c r="H64" s="106">
        <v>3048</v>
      </c>
      <c r="I64" s="102" t="s">
        <v>71</v>
      </c>
      <c r="J64" s="106">
        <v>1740</v>
      </c>
      <c r="K64" s="140" t="s">
        <v>660</v>
      </c>
      <c r="L64" s="141"/>
      <c r="M64" s="138" t="s">
        <v>644</v>
      </c>
      <c r="N64" s="146"/>
      <c r="O64" s="147"/>
      <c r="P64" s="7"/>
      <c r="Q64" s="7"/>
      <c r="R64" s="3"/>
      <c r="S64" s="3"/>
      <c r="T64" s="3"/>
      <c r="U64" s="3"/>
      <c r="V64" s="3"/>
      <c r="W64" s="12" t="s">
        <v>571</v>
      </c>
      <c r="X64" s="12"/>
      <c r="Y64" s="3"/>
      <c r="Z64" s="3"/>
      <c r="AA64" s="3"/>
      <c r="AB64" s="3"/>
      <c r="AC64" s="3"/>
      <c r="AD64" s="7"/>
      <c r="AE64" s="7"/>
      <c r="AF64" s="7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15.75" customHeight="1" thickBot="1">
      <c r="A65" s="5"/>
      <c r="B65" s="104">
        <v>39685</v>
      </c>
      <c r="C65" s="105">
        <v>39840</v>
      </c>
      <c r="D65" s="148" t="s">
        <v>645</v>
      </c>
      <c r="E65" s="139"/>
      <c r="F65" s="102" t="s">
        <v>643</v>
      </c>
      <c r="G65" s="102" t="s">
        <v>559</v>
      </c>
      <c r="H65" s="106">
        <v>8026</v>
      </c>
      <c r="I65" s="107" t="s">
        <v>53</v>
      </c>
      <c r="J65" s="106">
        <v>6370</v>
      </c>
      <c r="K65" s="140" t="s">
        <v>641</v>
      </c>
      <c r="L65" s="141"/>
      <c r="M65" s="148" t="s">
        <v>646</v>
      </c>
      <c r="N65" s="146"/>
      <c r="O65" s="147"/>
      <c r="P65" s="7"/>
      <c r="Q65" s="7"/>
      <c r="R65" s="3"/>
      <c r="S65" s="3"/>
      <c r="T65" s="3"/>
      <c r="U65" s="3"/>
      <c r="V65" s="3"/>
      <c r="W65" s="12" t="s">
        <v>14</v>
      </c>
      <c r="X65" s="12"/>
      <c r="Y65" s="3"/>
      <c r="Z65" s="3"/>
      <c r="AA65" s="3"/>
      <c r="AB65" s="3"/>
      <c r="AC65" s="3"/>
      <c r="AD65" s="7"/>
      <c r="AE65" s="7"/>
      <c r="AF65" s="7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15.75" customHeight="1" thickBot="1">
      <c r="A66" s="22"/>
      <c r="B66" s="104">
        <v>40280</v>
      </c>
      <c r="C66" s="105">
        <v>40804</v>
      </c>
      <c r="D66" s="138" t="s">
        <v>637</v>
      </c>
      <c r="E66" s="139"/>
      <c r="F66" s="101" t="s">
        <v>647</v>
      </c>
      <c r="G66" s="102" t="s">
        <v>14</v>
      </c>
      <c r="H66" s="106">
        <v>1267</v>
      </c>
      <c r="I66" s="102" t="s">
        <v>638</v>
      </c>
      <c r="J66" s="106">
        <v>2000</v>
      </c>
      <c r="K66" s="140" t="s">
        <v>657</v>
      </c>
      <c r="L66" s="141"/>
      <c r="M66" s="138" t="s">
        <v>640</v>
      </c>
      <c r="N66" s="146"/>
      <c r="O66" s="147"/>
      <c r="P66" s="7"/>
      <c r="Q66" s="7"/>
      <c r="R66" s="3"/>
      <c r="S66" s="3"/>
      <c r="T66" s="3"/>
      <c r="U66" s="3"/>
      <c r="V66" s="3"/>
      <c r="W66" s="12" t="s">
        <v>569</v>
      </c>
      <c r="X66" s="12"/>
      <c r="Y66" s="3"/>
      <c r="Z66" s="3"/>
      <c r="AA66" s="3"/>
      <c r="AB66" s="3"/>
      <c r="AC66" s="3"/>
      <c r="AD66" s="7"/>
      <c r="AE66" s="7"/>
      <c r="AF66" s="7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ht="15.75" customHeight="1" thickBot="1">
      <c r="A67" s="22"/>
      <c r="B67" s="104">
        <v>40814</v>
      </c>
      <c r="C67" s="105">
        <v>40899</v>
      </c>
      <c r="D67" s="148" t="s">
        <v>658</v>
      </c>
      <c r="E67" s="139"/>
      <c r="F67" s="101" t="s">
        <v>647</v>
      </c>
      <c r="G67" s="102" t="s">
        <v>14</v>
      </c>
      <c r="H67" s="106">
        <v>1267</v>
      </c>
      <c r="I67" s="102" t="s">
        <v>638</v>
      </c>
      <c r="J67" s="106">
        <v>2000</v>
      </c>
      <c r="K67" s="140" t="s">
        <v>657</v>
      </c>
      <c r="L67" s="141"/>
      <c r="M67" s="138" t="s">
        <v>640</v>
      </c>
      <c r="N67" s="146"/>
      <c r="O67" s="147"/>
      <c r="P67" s="7"/>
      <c r="Q67" s="7"/>
      <c r="R67" s="3"/>
      <c r="S67" s="3"/>
      <c r="T67" s="3"/>
      <c r="U67" s="3"/>
      <c r="V67" s="3"/>
      <c r="W67" s="12" t="s">
        <v>570</v>
      </c>
      <c r="X67" s="12"/>
      <c r="Y67" s="3"/>
      <c r="Z67" s="3"/>
      <c r="AA67" s="3"/>
      <c r="AB67" s="3"/>
      <c r="AC67" s="3"/>
      <c r="AD67" s="7"/>
      <c r="AE67" s="7"/>
      <c r="AF67" s="7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ht="15.75" customHeight="1" thickBot="1">
      <c r="A68" s="22"/>
      <c r="B68" s="104">
        <v>40922</v>
      </c>
      <c r="C68" s="105">
        <v>40989</v>
      </c>
      <c r="D68" s="148" t="s">
        <v>661</v>
      </c>
      <c r="E68" s="139"/>
      <c r="F68" s="102" t="s">
        <v>643</v>
      </c>
      <c r="G68" s="107" t="s">
        <v>530</v>
      </c>
      <c r="H68" s="106">
        <v>1169</v>
      </c>
      <c r="I68" s="107" t="s">
        <v>638</v>
      </c>
      <c r="J68" s="106">
        <v>1125</v>
      </c>
      <c r="K68" s="140" t="s">
        <v>659</v>
      </c>
      <c r="L68" s="141"/>
      <c r="M68" s="211" t="s">
        <v>662</v>
      </c>
      <c r="N68" s="212"/>
      <c r="O68" s="213"/>
      <c r="P68" s="7"/>
      <c r="Q68" s="7"/>
      <c r="R68" s="3"/>
      <c r="S68" s="3"/>
      <c r="T68" s="3"/>
      <c r="U68" s="3"/>
      <c r="V68" s="3"/>
      <c r="W68" s="12" t="s">
        <v>571</v>
      </c>
      <c r="X68" s="12"/>
      <c r="Y68" s="3"/>
      <c r="Z68" s="3"/>
      <c r="AA68" s="3"/>
      <c r="AB68" s="3"/>
      <c r="AC68" s="3"/>
      <c r="AD68" s="7"/>
      <c r="AE68" s="7"/>
      <c r="AF68" s="7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ht="15.75" customHeight="1" thickBot="1">
      <c r="A69" s="22"/>
      <c r="B69" s="115">
        <v>41066</v>
      </c>
      <c r="C69" s="116">
        <v>41127</v>
      </c>
      <c r="D69" s="149" t="s">
        <v>661</v>
      </c>
      <c r="E69" s="150"/>
      <c r="F69" s="117" t="s">
        <v>643</v>
      </c>
      <c r="G69" s="118" t="s">
        <v>530</v>
      </c>
      <c r="H69" s="119">
        <v>1169</v>
      </c>
      <c r="I69" s="118" t="s">
        <v>638</v>
      </c>
      <c r="J69" s="119">
        <v>1125</v>
      </c>
      <c r="K69" s="140" t="s">
        <v>659</v>
      </c>
      <c r="L69" s="141"/>
      <c r="M69" s="149" t="s">
        <v>662</v>
      </c>
      <c r="N69" s="151"/>
      <c r="O69" s="152"/>
      <c r="P69" s="7"/>
      <c r="Q69" s="7"/>
      <c r="R69" s="3"/>
      <c r="S69" s="3"/>
      <c r="T69" s="3"/>
      <c r="U69" s="3"/>
      <c r="V69" s="3"/>
      <c r="W69" s="12"/>
      <c r="X69" s="12"/>
      <c r="Y69" s="3"/>
      <c r="Z69" s="3"/>
      <c r="AA69" s="3"/>
      <c r="AB69" s="3"/>
      <c r="AC69" s="3"/>
      <c r="AD69" s="7"/>
      <c r="AE69" s="7"/>
      <c r="AF69" s="7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:51" ht="15.75" customHeight="1">
      <c r="A70" s="5"/>
      <c r="B70" s="115">
        <v>41319</v>
      </c>
      <c r="C70" s="116">
        <v>41383</v>
      </c>
      <c r="D70" s="149" t="s">
        <v>661</v>
      </c>
      <c r="E70" s="150"/>
      <c r="F70" s="117" t="s">
        <v>643</v>
      </c>
      <c r="G70" s="118" t="s">
        <v>530</v>
      </c>
      <c r="H70" s="119">
        <v>1169</v>
      </c>
      <c r="I70" s="118" t="s">
        <v>638</v>
      </c>
      <c r="J70" s="119">
        <v>1125</v>
      </c>
      <c r="K70" s="140" t="s">
        <v>659</v>
      </c>
      <c r="L70" s="141"/>
      <c r="M70" s="149" t="s">
        <v>662</v>
      </c>
      <c r="N70" s="151"/>
      <c r="O70" s="152"/>
      <c r="P70" s="7"/>
      <c r="Q70" s="7"/>
      <c r="R70" s="3"/>
      <c r="S70" s="3"/>
      <c r="T70" s="3"/>
      <c r="U70" s="3"/>
      <c r="V70" s="3"/>
      <c r="W70" s="12" t="s">
        <v>14</v>
      </c>
      <c r="X70" s="12"/>
      <c r="Y70" s="3"/>
      <c r="Z70" s="3"/>
      <c r="AA70" s="3"/>
      <c r="AB70" s="3"/>
      <c r="AC70" s="3"/>
      <c r="AD70" s="7"/>
      <c r="AE70" s="7"/>
      <c r="AF70" s="7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:51" ht="12.75">
      <c r="A71" s="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"/>
      <c r="S71" s="3"/>
      <c r="T71" s="3"/>
      <c r="U71" s="3"/>
      <c r="V71" s="3"/>
      <c r="W71" s="12" t="s">
        <v>572</v>
      </c>
      <c r="X71" s="12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1:5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12" t="s">
        <v>574</v>
      </c>
      <c r="X72" s="12" t="s">
        <v>417</v>
      </c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49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1:5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12" t="s">
        <v>575</v>
      </c>
      <c r="X73" s="12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49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1:51" s="50" customFormat="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7"/>
      <c r="S74" s="7"/>
      <c r="T74" s="7"/>
      <c r="U74" s="3"/>
      <c r="V74" s="3"/>
      <c r="W74" s="12" t="s">
        <v>576</v>
      </c>
      <c r="X74" s="12" t="s">
        <v>418</v>
      </c>
      <c r="Y74" s="49"/>
      <c r="Z74" s="49"/>
      <c r="AA74" s="49"/>
      <c r="AB74" s="49"/>
      <c r="AC74" s="49"/>
      <c r="AD74" s="49"/>
      <c r="AE74" s="49"/>
      <c r="AF74" s="49"/>
      <c r="AG74" s="3"/>
      <c r="AH74" s="3"/>
      <c r="AI74" s="3"/>
      <c r="AJ74" s="49"/>
      <c r="AK74" s="3"/>
      <c r="AL74" s="49"/>
      <c r="AM74" s="49"/>
      <c r="AN74" s="3"/>
      <c r="AO74" s="3"/>
      <c r="AP74" s="3"/>
      <c r="AQ74" s="3"/>
      <c r="AR74" s="3"/>
      <c r="AS74" s="3"/>
      <c r="AT74" s="49"/>
      <c r="AU74" s="49"/>
      <c r="AV74" s="49"/>
      <c r="AW74" s="49"/>
      <c r="AX74" s="49"/>
      <c r="AY74" s="49"/>
    </row>
    <row r="75" spans="1:51" s="50" customFormat="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7"/>
      <c r="S75" s="7"/>
      <c r="T75" s="7"/>
      <c r="U75" s="3"/>
      <c r="V75" s="3"/>
      <c r="W75" s="12" t="s">
        <v>577</v>
      </c>
      <c r="X75" s="12"/>
      <c r="Y75" s="49"/>
      <c r="Z75" s="49"/>
      <c r="AA75" s="49"/>
      <c r="AB75" s="49"/>
      <c r="AC75" s="49"/>
      <c r="AD75" s="49"/>
      <c r="AE75" s="49"/>
      <c r="AF75" s="49"/>
      <c r="AG75" s="3"/>
      <c r="AH75" s="3"/>
      <c r="AI75" s="3"/>
      <c r="AJ75" s="49"/>
      <c r="AK75" s="3"/>
      <c r="AL75" s="49"/>
      <c r="AM75" s="49"/>
      <c r="AN75" s="3"/>
      <c r="AO75" s="3"/>
      <c r="AP75" s="49"/>
      <c r="AQ75" s="3"/>
      <c r="AR75" s="3"/>
      <c r="AS75" s="3"/>
      <c r="AT75" s="49"/>
      <c r="AU75" s="49"/>
      <c r="AV75" s="49"/>
      <c r="AW75" s="49"/>
      <c r="AX75" s="49"/>
      <c r="AY75" s="49"/>
    </row>
    <row r="76" spans="1:5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7"/>
      <c r="S76" s="7"/>
      <c r="T76" s="7"/>
      <c r="U76" s="3"/>
      <c r="V76" s="3"/>
      <c r="W76" s="12" t="s">
        <v>578</v>
      </c>
      <c r="X76" s="12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9"/>
      <c r="AQ76" s="3"/>
      <c r="AR76" s="3"/>
      <c r="AS76" s="3"/>
      <c r="AT76" s="3"/>
      <c r="AU76" s="3"/>
      <c r="AV76" s="3"/>
      <c r="AW76" s="3"/>
      <c r="AX76" s="3"/>
      <c r="AY76" s="3"/>
    </row>
    <row r="77" spans="1:5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7"/>
      <c r="S77" s="7"/>
      <c r="T77" s="7"/>
      <c r="U77" s="3"/>
      <c r="V77" s="3"/>
      <c r="W77" s="12" t="s">
        <v>579</v>
      </c>
      <c r="X77" s="12" t="s">
        <v>419</v>
      </c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7"/>
      <c r="S78" s="7"/>
      <c r="T78" s="7"/>
      <c r="U78" s="3"/>
      <c r="V78" s="3"/>
      <c r="W78" s="12" t="s">
        <v>580</v>
      </c>
      <c r="X78" s="12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7"/>
      <c r="S79" s="7"/>
      <c r="T79" s="7"/>
      <c r="U79" s="3"/>
      <c r="V79" s="3"/>
      <c r="W79" s="12" t="s">
        <v>581</v>
      </c>
      <c r="X79" s="12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7"/>
      <c r="S80" s="7"/>
      <c r="T80" s="7"/>
      <c r="U80" s="3"/>
      <c r="V80" s="3"/>
      <c r="W80" s="12" t="s">
        <v>582</v>
      </c>
      <c r="X80" s="12" t="s">
        <v>420</v>
      </c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7"/>
      <c r="S81" s="7"/>
      <c r="T81" s="7"/>
      <c r="U81" s="3"/>
      <c r="V81" s="3"/>
      <c r="W81" s="12" t="s">
        <v>583</v>
      </c>
      <c r="X81" s="12" t="s">
        <v>421</v>
      </c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ht="13.5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7"/>
      <c r="S82" s="7"/>
      <c r="T82" s="7"/>
      <c r="U82" s="3"/>
      <c r="V82" s="3"/>
      <c r="W82" s="12" t="s">
        <v>584</v>
      </c>
      <c r="X82" s="12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1:24" ht="12.75">
      <c r="K83" s="156"/>
      <c r="L83" s="157"/>
      <c r="W83" s="73" t="s">
        <v>586</v>
      </c>
      <c r="X83" s="73"/>
    </row>
    <row r="84" spans="23:40" ht="12.75">
      <c r="W84" s="73" t="s">
        <v>587</v>
      </c>
      <c r="X84" s="73" t="s">
        <v>423</v>
      </c>
      <c r="AN84" s="50"/>
    </row>
    <row r="85" spans="23:40" ht="12.75">
      <c r="W85" s="73" t="s">
        <v>588</v>
      </c>
      <c r="X85" s="73" t="s">
        <v>424</v>
      </c>
      <c r="AN85" s="50"/>
    </row>
    <row r="86" spans="23:24" ht="12.75">
      <c r="W86" s="73" t="s">
        <v>522</v>
      </c>
      <c r="X86" s="73"/>
    </row>
    <row r="87" spans="23:24" ht="12.75">
      <c r="W87" s="73" t="s">
        <v>589</v>
      </c>
      <c r="X87" s="73"/>
    </row>
    <row r="88" spans="23:24" ht="12.75">
      <c r="W88" s="73" t="s">
        <v>590</v>
      </c>
      <c r="X88" s="73" t="s">
        <v>425</v>
      </c>
    </row>
    <row r="89" spans="23:24" ht="12.75">
      <c r="W89" s="73" t="s">
        <v>591</v>
      </c>
      <c r="X89" s="73"/>
    </row>
    <row r="90" spans="23:24" ht="12.75">
      <c r="W90" s="73" t="s">
        <v>592</v>
      </c>
      <c r="X90" s="73"/>
    </row>
    <row r="91" spans="23:24" ht="12.75">
      <c r="W91" s="73" t="s">
        <v>593</v>
      </c>
      <c r="X91" s="73"/>
    </row>
    <row r="92" spans="23:24" ht="12.75">
      <c r="W92" s="73" t="s">
        <v>594</v>
      </c>
      <c r="X92" s="73" t="s">
        <v>426</v>
      </c>
    </row>
    <row r="93" spans="23:24" ht="12.75">
      <c r="W93" s="73" t="s">
        <v>595</v>
      </c>
      <c r="X93" s="73"/>
    </row>
    <row r="94" spans="23:24" ht="12.75">
      <c r="W94" s="73" t="s">
        <v>596</v>
      </c>
      <c r="X94" s="73"/>
    </row>
    <row r="95" spans="23:24" ht="12.75">
      <c r="W95" s="73" t="s">
        <v>597</v>
      </c>
      <c r="X95" s="73"/>
    </row>
    <row r="96" spans="23:24" ht="12.75">
      <c r="W96" s="73" t="s">
        <v>598</v>
      </c>
      <c r="X96" s="73"/>
    </row>
    <row r="97" spans="23:24" ht="12.75">
      <c r="W97" s="73" t="s">
        <v>599</v>
      </c>
      <c r="X97" s="73"/>
    </row>
    <row r="98" spans="23:24" ht="13.5" thickBot="1">
      <c r="W98" s="74" t="s">
        <v>600</v>
      </c>
      <c r="X98" s="74"/>
    </row>
    <row r="99" ht="13.5" thickTop="1"/>
  </sheetData>
  <sheetProtection formatCells="0" formatColumns="0" formatRows="0" insertColumns="0" insertRows="0" insertHyperlinks="0" deleteColumns="0" deleteRows="0" sort="0" autoFilter="0" pivotTables="0"/>
  <protectedRanges>
    <protectedRange sqref="M62:O70 B62:J70" name="Диапазон36"/>
    <protectedRange sqref="L46:L47 J46:J47 F49:J56 K57:P58 P61:Q70" name="Диапазон34"/>
    <protectedRange sqref="I46:I47 K46:K47" name="Диапазон30"/>
    <protectedRange sqref="M36:N39" name="Диапазон28"/>
    <protectedRange sqref="I26:I28 M46:M47" name="Диапазон14"/>
    <protectedRange sqref="D23:I23" name="Диапазон12"/>
    <protectedRange sqref="L18:M19" name="Диапазон10"/>
    <protectedRange sqref="D18:F18 H18:J18" name="Диапазон8"/>
    <protectedRange sqref="D16:I16" name="Диапазон6"/>
    <protectedRange sqref="D14:E14" name="Диапазон4"/>
    <protectedRange sqref="D11" name="Диапазон2"/>
    <protectedRange sqref="D7:F10" name="Диапазон1"/>
    <protectedRange sqref="D12:I12" name="Диапазон3"/>
    <protectedRange sqref="D15:F15" name="Диапазон5"/>
    <protectedRange sqref="D17:E17" name="Диапазон7"/>
    <protectedRange sqref="D20:E22" name="Диапазон9"/>
    <protectedRange sqref="H21:I21" name="Диапазон11"/>
    <protectedRange sqref="E26:E30" name="Диапазон13"/>
    <protectedRange sqref="E36:J39" name="Диапазон27"/>
    <protectedRange sqref="K36:L39" name="Диапазон29"/>
    <protectedRange sqref="D46:H46" name="Диапазон31"/>
    <protectedRange sqref="K49:K50 K51:L56 Q57:Q58" name="Диапазон35"/>
    <protectedRange sqref="D11:E11" name="Диапазон37"/>
    <protectedRange sqref="N24:O33" name="Диапазон39"/>
  </protectedRanges>
  <mergeCells count="93">
    <mergeCell ref="D70:E70"/>
    <mergeCell ref="K70:L70"/>
    <mergeCell ref="M70:O70"/>
    <mergeCell ref="G45:H45"/>
    <mergeCell ref="G47:H47"/>
    <mergeCell ref="M46:N46"/>
    <mergeCell ref="D46:H46"/>
    <mergeCell ref="D68:E68"/>
    <mergeCell ref="K68:L68"/>
    <mergeCell ref="M68:O68"/>
    <mergeCell ref="B46:C46"/>
    <mergeCell ref="H50:I50"/>
    <mergeCell ref="B50:E50"/>
    <mergeCell ref="H49:I49"/>
    <mergeCell ref="B49:E49"/>
    <mergeCell ref="H48:I48"/>
    <mergeCell ref="M36:N36"/>
    <mergeCell ref="H38:I38"/>
    <mergeCell ref="M38:N38"/>
    <mergeCell ref="B48:E48"/>
    <mergeCell ref="H54:I54"/>
    <mergeCell ref="H53:I53"/>
    <mergeCell ref="H52:I52"/>
    <mergeCell ref="B52:E52"/>
    <mergeCell ref="H51:I51"/>
    <mergeCell ref="B51:E51"/>
    <mergeCell ref="H39:I39"/>
    <mergeCell ref="H18:J18"/>
    <mergeCell ref="H36:I36"/>
    <mergeCell ref="K35:L35"/>
    <mergeCell ref="H35:I35"/>
    <mergeCell ref="K37:L37"/>
    <mergeCell ref="K38:L38"/>
    <mergeCell ref="K39:L39"/>
    <mergeCell ref="K36:L36"/>
    <mergeCell ref="M37:N37"/>
    <mergeCell ref="H37:I37"/>
    <mergeCell ref="H21:I21"/>
    <mergeCell ref="D11:E11"/>
    <mergeCell ref="D12:I12"/>
    <mergeCell ref="D14:E14"/>
    <mergeCell ref="D15:F15"/>
    <mergeCell ref="D18:F18"/>
    <mergeCell ref="D21:E21"/>
    <mergeCell ref="D22:E22"/>
    <mergeCell ref="D7:F7"/>
    <mergeCell ref="D8:F8"/>
    <mergeCell ref="D9:F9"/>
    <mergeCell ref="D10:F10"/>
    <mergeCell ref="D16:I16"/>
    <mergeCell ref="D17:E17"/>
    <mergeCell ref="K14:L14"/>
    <mergeCell ref="K15:L15"/>
    <mergeCell ref="K83:L83"/>
    <mergeCell ref="L18:N18"/>
    <mergeCell ref="M35:N35"/>
    <mergeCell ref="B54:E54"/>
    <mergeCell ref="N24:O33"/>
    <mergeCell ref="B53:E53"/>
    <mergeCell ref="D20:E20"/>
    <mergeCell ref="D23:I23"/>
    <mergeCell ref="D69:E69"/>
    <mergeCell ref="K69:L69"/>
    <mergeCell ref="M69:O69"/>
    <mergeCell ref="D66:E66"/>
    <mergeCell ref="K66:L66"/>
    <mergeCell ref="M66:O66"/>
    <mergeCell ref="D67:E67"/>
    <mergeCell ref="K67:L67"/>
    <mergeCell ref="M67:O67"/>
    <mergeCell ref="D64:E64"/>
    <mergeCell ref="K64:L64"/>
    <mergeCell ref="M64:O64"/>
    <mergeCell ref="D65:E65"/>
    <mergeCell ref="K65:L65"/>
    <mergeCell ref="M65:O65"/>
    <mergeCell ref="D63:E63"/>
    <mergeCell ref="K63:L63"/>
    <mergeCell ref="M63:O63"/>
    <mergeCell ref="B56:E56"/>
    <mergeCell ref="D62:E62"/>
    <mergeCell ref="K62:L62"/>
    <mergeCell ref="M62:O62"/>
    <mergeCell ref="M39:N39"/>
    <mergeCell ref="M45:N45"/>
    <mergeCell ref="M47:N47"/>
    <mergeCell ref="L19:N19"/>
    <mergeCell ref="B55:E55"/>
    <mergeCell ref="D61:E61"/>
    <mergeCell ref="K61:L61"/>
    <mergeCell ref="M61:O61"/>
    <mergeCell ref="H55:I55"/>
    <mergeCell ref="H56:I56"/>
  </mergeCells>
  <conditionalFormatting sqref="D11:E11 D12:I12 D14:E14 D15:F15 D18:F18 K15:L15 H18:J18 D20:E22 E26:E30 I26:I28 H21:I21 D7:F10 D16:I16 D17:E17 D23:I23 K47 H36:J39 K37:L37 M36:N39 L18:N18 L19 H49:K56">
    <cfRule type="cellIs" priority="10" dxfId="4" operator="greaterThan" stopIfTrue="1">
      <formula>1</formula>
    </cfRule>
  </conditionalFormatting>
  <conditionalFormatting sqref="K14:L14">
    <cfRule type="cellIs" priority="11" dxfId="4" operator="greaterThan" stopIfTrue="1">
      <formula>2</formula>
    </cfRule>
  </conditionalFormatting>
  <conditionalFormatting sqref="L47:O47 E36:G39 G47:J47 P46:Q47 F49:F54 G49:G56 D46:O46">
    <cfRule type="cellIs" priority="12" dxfId="10" operator="greaterThan" stopIfTrue="1">
      <formula>1</formula>
    </cfRule>
  </conditionalFormatting>
  <conditionalFormatting sqref="K39:L39">
    <cfRule type="cellIs" priority="7" dxfId="4" operator="greaterThan" stopIfTrue="1">
      <formula>1</formula>
    </cfRule>
  </conditionalFormatting>
  <conditionalFormatting sqref="K36:L36">
    <cfRule type="cellIs" priority="9" dxfId="4" operator="greaterThan" stopIfTrue="1">
      <formula>1</formula>
    </cfRule>
  </conditionalFormatting>
  <conditionalFormatting sqref="K38:L38">
    <cfRule type="cellIs" priority="8" dxfId="4" operator="greaterThan" stopIfTrue="1">
      <formula>1</formula>
    </cfRule>
  </conditionalFormatting>
  <conditionalFormatting sqref="B65:J65 M65:O65">
    <cfRule type="cellIs" priority="2" dxfId="10" operator="greaterThan" stopIfTrue="1">
      <formula>1</formula>
    </cfRule>
  </conditionalFormatting>
  <conditionalFormatting sqref="B62:J63 M62:O63 M66:O69 B66:J69">
    <cfRule type="cellIs" priority="4" dxfId="10" operator="greaterThan" stopIfTrue="1">
      <formula>1</formula>
    </cfRule>
  </conditionalFormatting>
  <conditionalFormatting sqref="B64:J64 M64:O64">
    <cfRule type="cellIs" priority="3" dxfId="10" operator="greaterThan" stopIfTrue="1">
      <formula>1</formula>
    </cfRule>
  </conditionalFormatting>
  <conditionalFormatting sqref="M70:O70 B70:J70">
    <cfRule type="cellIs" priority="1" dxfId="10" operator="greaterThan" stopIfTrue="1">
      <formula>1</formula>
    </cfRule>
  </conditionalFormatting>
  <dataValidations count="53">
    <dataValidation type="date" operator="greaterThan" allowBlank="1" showInputMessage="1" errorTitle="Crewing Data System" error="Введенное значение должно иметь формат даты&#10;и находиться быть больше Даты рождения" sqref="J37">
      <formula1>G37</formula1>
    </dataValidation>
    <dataValidation errorStyle="warning" type="textLength" operator="lessThan" allowBlank="1" showInputMessage="1" showErrorMessage="1" promptTitle="Father's Name." prompt="Ваше отчество. По-английски." errorTitle="Crewing Data System" error="Длина введенного значения превышает предельно допустимую (20 символов)" sqref="D10:F10">
      <formula1>20</formula1>
    </dataValidation>
    <dataValidation type="textLength" operator="lessThan" allowBlank="1" showInputMessage="1" showErrorMessage="1" promptTitle="Your Name. as in passport." prompt="Ваше Имя, Написание по английски, как в Паспорте моряка." errorTitle="Crewing Data System" error="Длина введенного значения превышает предельно допустимую (20 символов)" sqref="D9:F9">
      <formula1>20</formula1>
    </dataValidation>
    <dataValidation type="date" allowBlank="1" showInputMessage="1" showErrorMessage="1" promptTitle="Date of Berth." prompt="Дата рождения. Как в паспорте моряка вводить в формате день.месяц.год (все цифрами, год - полностью)" errorTitle="Crewing Data System" error="Введено неправильное значение или&#10;дата рождения находится вне диапазона &#10;от 01.01.1930 до 01.01.1999" sqref="D11:E11">
      <formula1>1</formula1>
      <formula2>36526</formula2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50 символов)" sqref="H55:I55 H38:H39 H36 I39 K46:K47 F49:F51 E64:E65 P61:Q70 K57:P58 F55:F56 M62:M70 G62:G70 D62:D70 E67:E70">
      <formula1>50</formula1>
    </dataValidation>
    <dataValidation type="textLength" operator="lessThan" allowBlank="1" showInputMessage="1" showErrorMessage="1" promptTitle="Номер телефона" prompt="Ваш Мобильник. Если у вас нет мобильника, можете указать телефон ваших знакомых - тогда сделайте поясняющую приписку." errorTitle="Crewing Data System" error="Длина введенного значения превышает предельно допустимую (60 символов)" sqref="H18:J18">
      <formula1>60</formula1>
    </dataValidation>
    <dataValidation type="decimal" allowBlank="1" showInputMessage="1" showErrorMessage="1" errorTitle="Crewing Data System" error="Введенное значение должно быть дробным числом от 1 до 2,5" sqref="E27">
      <formula1>1</formula1>
      <formula2>2.5</formula2>
    </dataValidation>
    <dataValidation type="decimal" allowBlank="1" showInputMessage="1" showErrorMessage="1" errorTitle="Crewing Data System" error="Введенное значение должно быть целым числом в пределах от 30 до 200" sqref="E26">
      <formula1>50</formula1>
      <formula2>150</formula2>
    </dataValidation>
    <dataValidation type="whole" allowBlank="1" showInputMessage="1" showErrorMessage="1" errorTitle="Crewing Data System" error="Введенное значение должно быть целым числом от 2 до 55" sqref="E29">
      <formula1>2</formula1>
      <formula2>55</formula2>
    </dataValidation>
    <dataValidation type="whole" allowBlank="1" showInputMessage="1" showErrorMessage="1" promptTitle="Рабочий комбинезон" prompt="Размер указывайте с учетом того, что Х.Б. как правило садится после стирки на 1 размер." errorTitle="Crewing Data System" error="Введенное значение должно быть целым числом от 48 до 56" sqref="E28">
      <formula1>46</formula1>
      <formula2>64</formula2>
    </dataValidation>
    <dataValidation type="decimal" allowBlank="1" showInputMessage="1" showErrorMessage="1" promptTitle="Головной убор" prompt="Размер в сантиметрах по окружности головы в районе лба. &#10;Не уверены- измерьте." errorTitle="Crewing Data System" error="Введенное значение должно быть целым числом &#10;и находиться в диапазоне от 56 до 62." sqref="E30">
      <formula1>56</formula1>
      <formula2>62</formula2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20 символов)" sqref="J62:J70 H62:H70">
      <formula1>20</formula1>
    </dataValidation>
    <dataValidation type="textLength" operator="lessThan" allowBlank="1" showInputMessage="1" showErrorMessage="1" errorTitle="Crewing Data System" error="Длина введенного значения превышает предельно допустимую (10 символов)" sqref="E36:F39">
      <formula1>10</formula1>
    </dataValidation>
    <dataValidation errorStyle="warning" type="textLength" operator="lessThan" allowBlank="1" showInputMessage="1" showErrorMessage="1" promptTitle="Family Name. as in your passport" prompt="Ваша Фамилия, Написание по английски, как в Паспорте моряка." errorTitle="Crewing Data System" error="Длина введенного значения превышает предельно допустимую (20 символов)" sqref="D8:F8">
      <formula1>20</formula1>
    </dataValidation>
    <dataValidation type="textLength" operator="lessThan" allowBlank="1" showInputMessage="1" showErrorMessage="1" promptTitle="P.O.B. As in your Passport." prompt="Место рождения. По-английски, как в паспорте моряка." errorTitle="Crewing Data System" error="Длина введенного значения превышает предельно допустимую (150 символов)" sqref="D12:I12">
      <formula1>150</formula1>
    </dataValidation>
    <dataValidation type="textLength" operator="lessThan" allowBlank="1" showInputMessage="1" showErrorMessage="1" promptTitle="Введите Город" prompt="Здесь и далее адрес, где реально живете." errorTitle="Crewing Data System" error="Длина введенного значения превышает предельно допустимую (50 символов)" sqref="D15:F15">
      <formula1>50</formula1>
    </dataValidation>
    <dataValidation type="textLength" operator="lessThan" allowBlank="1" showInputMessage="1" showErrorMessage="1" promptTitle="Улица, дом - квартира." prompt="Введите улицу, дом, корпус,  - квартира (если есть)." errorTitle="Crewing Data System" error="Длина введенного значения превышает предельно допустимую (150 символов)" sqref="D16:I16">
      <formula1>150</formula1>
    </dataValidation>
    <dataValidation allowBlank="1" showInputMessage="1" showErrorMessage="1" promptTitle="Почтовый индекс" prompt="Проверьте на почте - индекс во многих местах поменялся." errorTitle="Crewing Data System" error="Введенное значение должно быть целым числом от 0 до 99999999" sqref="D17:E17"/>
    <dataValidation type="textLength" operator="lessThan" allowBlank="1" showInputMessage="1" showErrorMessage="1" promptTitle="Номер телефона" prompt="Введите в полном формате с указанием:&#10;кода страны (кода города) - номера телефона. Например&#10;7-8888-123456. Если не ваш личный, укажите чей." errorTitle="Crewing Data System" error="Длина введенного значения превышает предельно допустимую (60 символов)" sqref="D18:F18">
      <formula1>60</formula1>
    </dataValidation>
    <dataValidation allowBlank="1" showInputMessage="1" showErrorMessage="1" promptTitle="Фото" prompt="Если есть возможность поместите сюда ваше фото. Для этого: откройте меню ВСТАВКА. Откройте подменю Обьект.Откройте лист ИЗ ФАЙЛА.С помощью кнопки ОБЗОР найдите на диске ваше фото и вставте." sqref="N24:O33"/>
    <dataValidation type="textLength" operator="lessThan" allowBlank="1" showInputMessage="1" showErrorMessage="1" promptTitle="Образование" prompt="Название учебного заведения, специальность и год выпуска. Если еще не закончили - укажите на каком курсе." errorTitle="Crewing Data System" error="Длина введенного значения превышает предельно допустимую (150 символов)" sqref="D23:I23">
      <formula1>150</formula1>
    </dataValidation>
    <dataValidation allowBlank="1" showInputMessage="1" promptTitle="Заработок" prompt="Укажите свой ЖЕЛАЕМЫЙ заработок." sqref="K15:L15"/>
    <dataValidation allowBlank="1" showInputMessage="1" promptTitle="Заработок" prompt="Политика нашей компании побуждает нас трудостраивать Вас по максимально возможным ставкам и все же, укажите минимальный заработок на который Вы согласны." sqref="K14:L14"/>
    <dataValidation allowBlank="1" showInputMessage="1" promptTitle="Ваш адрес электронной почты" prompt="Желательно указать. Будте уверены, чтобы после долгого неиспользования адреса, например когда вы в море, провайдер не отменил ваш адрес. На этот случай в поле E-mail 2 укажите дополнит. адрес, например вашего друга. " sqref="L18:N18"/>
    <dataValidation allowBlank="1" sqref="DL2"/>
    <dataValidation operator="lessThan" errorTitle="Crewing Data System" error="Длина введенного значения превышает предельно допустимую (50 символов)" sqref="H37:I37"/>
    <dataValidation type="textLength" operator="lessThan" allowBlank="1" showInputMessage="1" showErrorMessage="1" errorTitle="Crewing Data System" error="Длина введенного значения превышает предельно допустимую (100 символов)" sqref="F52:F54">
      <formula1>100</formula1>
    </dataValidation>
    <dataValidation allowBlank="1" showInputMessage="1" showErrorMessage="1" promptTitle="Дата последней медкомиссии:" prompt="Вводите дату ДД.ММ.ГГГГ&#10;Обратите внимание день точка месяц (цифра) точка год (4 цифры." errorTitle="Crewing Data System" error="Введенное значение должно иметь формат даты&#10;и находиться в диапазоне (Дата рождения) - (Текущая дата)" sqref="G56"/>
    <dataValidation allowBlank="1" showInputMessage="1" showErrorMessage="1" promptTitle="Номер &quot;Аськи&quot; ." prompt="Укажите если имеете. ( Например у меня номер 112373733 )" sqref="L19:N19"/>
    <dataValidation operator="lessThan" allowBlank="1" showInputMessage="1" errorTitle="Crewing Data System" error="Длина введенного значения превышает предельно допустимую (50 символов)" sqref="M36:N36"/>
    <dataValidation operator="lessThan" showInputMessage="1" errorTitle="Crewing Data System" error="Длина введенного значения превышает предельно допустимую (50 символов)" sqref="M37:N39"/>
    <dataValidation type="textLength" operator="lessThan" allowBlank="1" showInputMessage="1" showErrorMessage="1" errorTitle="Crewing Data System" error="Номер должен быть не больше 15 символов длиной" sqref="I46:I47">
      <formula1>15</formula1>
    </dataValidation>
    <dataValidation type="list" operator="lessThan" allowBlank="1" showInputMessage="1" errorTitle="Crewing Data System" error="Длина введенного значения превышает предельно допустимую (50 символов)" sqref="F62:F70">
      <formula1>$Z$24:$Z$29</formula1>
    </dataValidation>
    <dataValidation type="list" operator="lessThan" allowBlank="1" showInputMessage="1" errorTitle="Crewing Data System" error="Длина введенного значения превышает предельно допустимую (50 символов)" sqref="I62:I70">
      <formula1>'Reg Form'!#REF!</formula1>
    </dataValidation>
    <dataValidation type="date" operator="greaterThan" allowBlank="1" showInputMessage="1" showErrorMessage="1" errorTitle="Crewing Data System" error="Введенное значение должно быть больше Даты выдачи. Valid Data must be more date of issue Date." sqref="J52:J54">
      <formula1>G52</formula1>
    </dataValidation>
    <dataValidation allowBlank="1" showInputMessage="1" showErrorMessage="1" promptTitle="Формат даты:" prompt="Вводите дату ДД.ММ.ГГГГ&#10;Обратите внимание день точка месяц (цифра) точка год (4 цифры." errorTitle="Crewing Data System" error="Введенное значение должно иметь формат даты&#10;и находиться в диапазоне (Дата рождения) - (Текущая дата)" sqref="G52:G54"/>
    <dataValidation type="date" operator="greaterThan" allowBlank="1" showInputMessage="1" showErrorMessage="1" promptTitle="Дедкомиссия годна по :" prompt="Дата  ДД.ММ.ГГГГ" errorTitle="Crewing Data System" error="Введенное значение должно быть больше Даты выдачи. Valid Data must be more date of issue Date." sqref="J56">
      <formula1>G56</formula1>
    </dataValidation>
    <dataValidation type="list" operator="lessThan" showInputMessage="1" promptTitle="Кем оформлен документ." prompt="Выберите из списка или введите свое значение." errorTitle="Crewing Data System" error="Длина введенного значения превышает предельно допустимую (50 символов)" sqref="H49:I54 H56:I56">
      <formula1>$AN$34:$AN$54</formula1>
    </dataValidation>
    <dataValidation type="list" showInputMessage="1" errorTitle="Crewing Data System" error="Введенное значение должно быть одним из списка" sqref="D20:E20">
      <formula1>'Reg Form'!#REF!</formula1>
    </dataValidation>
    <dataValidation type="list" showInputMessage="1" showErrorMessage="1" promptTitle="Цвет глаз." prompt="Данные вносите с паспорта моряка &#10;(страница 32) если они внесены в паспорт правильно. Если в паспорте ошибка, вносите реальный цвет глаз." errorTitle="Crewing Data System" error="Введенное значение должно быть одним из списка" sqref="I27">
      <formula1>'Reg Form'!#REF!</formula1>
    </dataValidation>
    <dataValidation type="list" allowBlank="1" showInputMessage="1" errorTitle="Crewing Data System" error="Введенное значение должно быть одним из списка" sqref="D22:E22">
      <formula1>'Reg Form'!#REF!</formula1>
    </dataValidation>
    <dataValidation type="list" showInputMessage="1" showErrorMessage="1" errorTitle="Crewing Data System" error="Введенное значение должно быть одним из списка" sqref="I26 I28">
      <formula1>'Reg Form'!#REF!</formula1>
    </dataValidation>
    <dataValidation type="list" showInputMessage="1" promptTitle="Функции" prompt="на которые оформлен рабочий диплом. Страница 2 диплома." errorTitle="Crewing Data System" error="Введенное значение должно быть одним из списка" sqref="M46:N47">
      <formula1>'Reg Form'!#REF!</formula1>
    </dataValidation>
    <dataValidation type="list" showInputMessage="1" promptTitle="Уровень " prompt="на который выписан рабочий диплом." sqref="O46:O47">
      <formula1>'Reg Form'!#REF!</formula1>
    </dataValidation>
    <dataValidation type="list" showInputMessage="1" promptTitle="Подтверждение к Дипл." prompt="Ваше национальное подтверждение или подтверждение для работы на танкерах и т.п." sqref="G47:H47">
      <formula1>$Y$6:$Y$18</formula1>
    </dataValidation>
    <dataValidation errorStyle="warning" type="list" allowBlank="1" showInputMessage="1" showErrorMessage="1" promptTitle="Choice Your Rank." prompt="If disturb you, Drug this field to the corner of the screen by &quot;mouse&quot;. Выберите из списка вашу должность. Если вам мешает примечание, оттащите примечание &quot;мышкой&quot; в угол экрана." errorTitle="Внимание" error="Должность только из списка" sqref="D7:F7">
      <formula1>$R$6:$R$55</formula1>
    </dataValidation>
    <dataValidation errorStyle="information" type="list" showInputMessage="1" showErrorMessage="1" promptTitle="Введите Страну Проживания." prompt="Здесь и далее адрес, где реально живете.&#10;There and further fields, address where your live." errorTitle="Внимание" error="Выберите страну из списка построенного по алфавитному порядку." sqref="D14:E14">
      <formula1>$W$6:$W$98</formula1>
    </dataValidation>
    <dataValidation type="list" allowBlank="1" showInputMessage="1" showErrorMessage="1" promptTitle="Гражданство" prompt="если двойное, заполните поле Гражданство 2." sqref="H21:I21">
      <formula1>$W$6:$W$98</formula1>
    </dataValidation>
    <dataValidation errorStyle="warning" type="list" showInputMessage="1" showErrorMessage="1" errorTitle="Сообщение:" error="Выберите вашу национальность из списка." sqref="D21:E21">
      <formula1>$W$6:$W$98</formula1>
    </dataValidation>
    <dataValidation type="list" showInputMessage="1" promptTitle="Ограничения" prompt="по рабочему диплому." sqref="P46:Q47">
      <formula1>$AW$6:$AW$33</formula1>
    </dataValidation>
    <dataValidation type="list" allowBlank="1" showInputMessage="1" showErrorMessage="1" sqref="K49:K50">
      <formula1>$AE$5:$AE$48</formula1>
    </dataValidation>
    <dataValidation type="list" showInputMessage="1" sqref="K51:L56 Q57:Q58">
      <formula1>$W$6:$W$98</formula1>
    </dataValidation>
    <dataValidation type="list" sqref="K36:L39">
      <formula1>$W$6:$W$98</formula1>
    </dataValidation>
  </dataValidations>
  <hyperlinks>
    <hyperlink ref="L18" r:id="rId1" display="artyomaleksandrovich@yandex.ru"/>
  </hyperlink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portrait" paperSize="9" scale="30" r:id="rId3"/>
  <ignoredErrors>
    <ignoredError sqref="F21 BL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Tishin Denis Gennadievich</Manager>
  <Company>Co9@mail.ru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ApplForm</dc:title>
  <dc:subject/>
  <dc:creator>© 1997-2003 TishinDG</dc:creator>
  <cp:keywords/>
  <dc:description/>
  <cp:lastModifiedBy>Артём Ануфриев</cp:lastModifiedBy>
  <cp:lastPrinted>2012-09-08T04:13:02Z</cp:lastPrinted>
  <dcterms:created xsi:type="dcterms:W3CDTF">2002-07-24T19:01:45Z</dcterms:created>
  <dcterms:modified xsi:type="dcterms:W3CDTF">2013-05-02T06:19:47Z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